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7235" windowHeight="11055"/>
  </bookViews>
  <sheets>
    <sheet name="Istruzioni" sheetId="18" r:id="rId1"/>
    <sheet name="classe sismica " sheetId="15" r:id="rId2"/>
  </sheets>
  <calcPr calcId="125725"/>
</workbook>
</file>

<file path=xl/calcChain.xml><?xml version="1.0" encoding="utf-8"?>
<calcChain xmlns="http://schemas.openxmlformats.org/spreadsheetml/2006/main">
  <c r="V6" i="15"/>
  <c r="V7" s="1"/>
  <c r="V8" s="1"/>
  <c r="V9" s="1"/>
  <c r="V10" s="1"/>
  <c r="V5"/>
  <c r="U6"/>
  <c r="U7" s="1"/>
  <c r="U8" s="1"/>
  <c r="U9" s="1"/>
  <c r="U10" s="1"/>
  <c r="U5"/>
  <c r="U2"/>
  <c r="V2"/>
  <c r="V3"/>
  <c r="U3"/>
  <c r="V4"/>
  <c r="U4"/>
  <c r="R2" l="1"/>
  <c r="R3"/>
  <c r="R4"/>
  <c r="R5"/>
  <c r="R6"/>
  <c r="R7"/>
  <c r="R8"/>
  <c r="R9"/>
  <c r="R10"/>
  <c r="R1"/>
  <c r="S2"/>
  <c r="T2"/>
  <c r="S3"/>
  <c r="T3"/>
  <c r="N2"/>
  <c r="B29"/>
  <c r="B28"/>
  <c r="B27"/>
  <c r="B26"/>
  <c r="N8"/>
  <c r="P8" s="1"/>
  <c r="T10"/>
  <c r="S10"/>
  <c r="N7"/>
  <c r="O7" s="1"/>
  <c r="T9"/>
  <c r="S9"/>
  <c r="N6"/>
  <c r="O6" s="1"/>
  <c r="T8"/>
  <c r="S8"/>
  <c r="N5"/>
  <c r="P5" s="1"/>
  <c r="T7"/>
  <c r="S7"/>
  <c r="T6"/>
  <c r="S6"/>
  <c r="T5"/>
  <c r="S5"/>
  <c r="T4"/>
  <c r="S4"/>
  <c r="W6" l="1"/>
  <c r="X6" s="1"/>
  <c r="O8"/>
  <c r="O5"/>
  <c r="W9"/>
  <c r="X9" s="1"/>
  <c r="W8"/>
  <c r="X8" s="1"/>
  <c r="O2"/>
  <c r="W4" l="1"/>
  <c r="X4" s="1"/>
  <c r="P7" s="1"/>
  <c r="G19" s="1"/>
  <c r="G20" s="1"/>
  <c r="C29" s="1"/>
  <c r="W5"/>
  <c r="X5" s="1"/>
  <c r="W7"/>
  <c r="X7" s="1"/>
  <c r="W3"/>
  <c r="W2" s="1"/>
  <c r="W10"/>
  <c r="X10" s="1"/>
  <c r="X3" l="1"/>
  <c r="X2" s="1"/>
  <c r="P2"/>
  <c r="G14" s="1"/>
  <c r="J3" s="1"/>
  <c r="J7" s="1"/>
  <c r="J6" s="1"/>
  <c r="C28"/>
  <c r="D28" s="1"/>
  <c r="C30"/>
  <c r="D29"/>
  <c r="P6" l="1"/>
  <c r="G18" s="1"/>
  <c r="G17" s="1"/>
  <c r="F28"/>
  <c r="D30"/>
  <c r="F30" s="1"/>
  <c r="C27" l="1"/>
  <c r="D27" s="1"/>
  <c r="F27" s="1"/>
  <c r="F29"/>
  <c r="C26" l="1"/>
  <c r="D26" s="1"/>
  <c r="F25" s="1"/>
  <c r="F26" l="1"/>
  <c r="I3" s="1"/>
  <c r="I7" s="1"/>
  <c r="I9" s="1"/>
  <c r="I6" l="1"/>
</calcChain>
</file>

<file path=xl/sharedStrings.xml><?xml version="1.0" encoding="utf-8"?>
<sst xmlns="http://schemas.openxmlformats.org/spreadsheetml/2006/main" count="63" uniqueCount="49">
  <si>
    <t>SLV</t>
  </si>
  <si>
    <t>SLD</t>
  </si>
  <si>
    <t>ag (C)</t>
  </si>
  <si>
    <t>Tr (C)</t>
  </si>
  <si>
    <t>SLC</t>
  </si>
  <si>
    <t>SLO</t>
  </si>
  <si>
    <t>SLID</t>
  </si>
  <si>
    <t>SLR</t>
  </si>
  <si>
    <t>CR</t>
  </si>
  <si>
    <t>dA</t>
  </si>
  <si>
    <t>classe</t>
  </si>
  <si>
    <t>PAM</t>
  </si>
  <si>
    <t>IS-V</t>
  </si>
  <si>
    <t>h</t>
  </si>
  <si>
    <t>Pericolosità sismica del sito</t>
  </si>
  <si>
    <t>l (C)</t>
  </si>
  <si>
    <t>per consentire interpolazione</t>
  </si>
  <si>
    <t>Tr</t>
  </si>
  <si>
    <t>ag</t>
  </si>
  <si>
    <t>Indicare i valori di PGA per più periodi di ritorno</t>
  </si>
  <si>
    <t>ag (PGA)</t>
  </si>
  <si>
    <t>Dall'alto verso il basso indicare Tr crescente</t>
  </si>
  <si>
    <t>SL</t>
  </si>
  <si>
    <t>ln ag</t>
  </si>
  <si>
    <t>ln Tr</t>
  </si>
  <si>
    <t>d ln ag</t>
  </si>
  <si>
    <t>d ln Tr</t>
  </si>
  <si>
    <t>rapp</t>
  </si>
  <si>
    <t>(come minimo 4, max 9)</t>
  </si>
  <si>
    <t>Capacità</t>
  </si>
  <si>
    <t>(almeno SLD e SLV)</t>
  </si>
  <si>
    <t>Domanda per SLV</t>
  </si>
  <si>
    <t>SLV (D)</t>
  </si>
  <si>
    <t>SLO (C)</t>
  </si>
  <si>
    <t>SLC (C)</t>
  </si>
  <si>
    <t>SLV (C)</t>
  </si>
  <si>
    <t>SLD (C)</t>
  </si>
  <si>
    <t>Indicare il periodo di ritorno per SLV</t>
  </si>
  <si>
    <t>Indicare l'accelerazione corrispondente</t>
  </si>
  <si>
    <t>al raggiungimento degli stati limite</t>
  </si>
  <si>
    <r>
      <rPr>
        <sz val="11"/>
        <color theme="0" tint="-0.499984740745262"/>
        <rFont val="Symbol"/>
        <family val="1"/>
        <charset val="2"/>
      </rPr>
      <t>h</t>
    </r>
    <r>
      <rPr>
        <sz val="11"/>
        <color theme="0" tint="-0.499984740745262"/>
        <rFont val="Calibri"/>
        <family val="2"/>
        <scheme val="minor"/>
      </rPr>
      <t>=1/rapp</t>
    </r>
  </si>
  <si>
    <t>Questo file consente di calcolare la classe di rischio sismico di un edificio</t>
  </si>
  <si>
    <t>Occorre fornire:</t>
  </si>
  <si>
    <t>-  i dati relativi alla pericolosità sismica del sito (coppie periodo di ritorno-accelerazione)</t>
  </si>
  <si>
    <t>almeno 4 coppie, non più di 9</t>
  </si>
  <si>
    <t>-  il periodo di ritorno previsto dalla normativa per SLV (per la classe d'uso dell'edificio)</t>
  </si>
  <si>
    <t>-  il valore dell'accelerazione che corrisponde al raggiungimento degli stati limite</t>
  </si>
  <si>
    <t>almeno per SLD e SLV</t>
  </si>
  <si>
    <t>Classe di rischio sismico - vers. 2.1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</si>
</sst>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%"/>
    <numFmt numFmtId="166" formatCode="0.0"/>
    <numFmt numFmtId="167" formatCode="0.0%"/>
    <numFmt numFmtId="168" formatCode="0.0000"/>
    <numFmt numFmtId="169" formatCode="[$-410]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0" tint="-0.249977111117893"/>
      <name val="Arial"/>
      <family val="2"/>
    </font>
    <font>
      <b/>
      <sz val="10"/>
      <color theme="1"/>
      <name val="Arial"/>
      <family val="2"/>
    </font>
    <font>
      <sz val="10"/>
      <color theme="0" tint="-4.9989318521683403E-2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11"/>
      <color theme="0" tint="-0.499984740745262"/>
      <name val="Symbol"/>
      <family val="1"/>
      <charset val="2"/>
    </font>
    <font>
      <sz val="10"/>
      <color theme="0" tint="-0.499984740745262"/>
      <name val="Symbol"/>
      <family val="1"/>
      <charset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2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 applyProtection="1">
      <alignment horizontal="center"/>
      <protection locked="0"/>
    </xf>
    <xf numFmtId="166" fontId="2" fillId="2" borderId="1" xfId="0" applyNumberFormat="1" applyFont="1" applyFill="1" applyBorder="1" applyAlignment="1" applyProtection="1">
      <alignment horizontal="center"/>
      <protection locked="0"/>
    </xf>
    <xf numFmtId="168" fontId="2" fillId="2" borderId="1" xfId="0" applyNumberFormat="1" applyFont="1" applyFill="1" applyBorder="1" applyAlignment="1" applyProtection="1">
      <alignment horizontal="center"/>
      <protection locked="0"/>
    </xf>
    <xf numFmtId="168" fontId="2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169" fontId="12" fillId="0" borderId="0" xfId="1" applyNumberFormat="1" applyAlignment="1" applyProtection="1">
      <alignment horizontal="center"/>
    </xf>
    <xf numFmtId="0" fontId="10" fillId="0" borderId="0" xfId="0" quotePrefix="1" applyFont="1"/>
    <xf numFmtId="0" fontId="2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FFFF99"/>
      <color rgb="FF006600"/>
      <color rgb="FF4A7EBB"/>
      <color rgb="FF4F81B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4A7EBB"/>
              </a:solidFill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</c:spPr>
          </c:marker>
          <c:xVal>
            <c:numRef>
              <c:f>'classe sismica '!$D$25:$D$31</c:f>
              <c:numCache>
                <c:formatCode>0.000%</c:formatCode>
                <c:ptCount val="7"/>
                <c:pt idx="0">
                  <c:v>0.1</c:v>
                </c:pt>
                <c:pt idx="1">
                  <c:v>5.855802332368102E-3</c:v>
                </c:pt>
                <c:pt idx="2">
                  <c:v>3.5134813994208611E-3</c:v>
                </c:pt>
                <c:pt idx="3">
                  <c:v>1.4241903417125054E-3</c:v>
                </c:pt>
                <c:pt idx="4">
                  <c:v>6.93836320321477E-4</c:v>
                </c:pt>
                <c:pt idx="5">
                  <c:v>6.93836320321477E-4</c:v>
                </c:pt>
                <c:pt idx="6">
                  <c:v>0</c:v>
                </c:pt>
              </c:numCache>
            </c:numRef>
          </c:xVal>
          <c:yVal>
            <c:numRef>
              <c:f>'classe sismica '!$E$25:$E$31</c:f>
              <c:numCache>
                <c:formatCode>0%</c:formatCode>
                <c:ptCount val="7"/>
                <c:pt idx="0">
                  <c:v>0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</c:ser>
        <c:axId val="120415744"/>
        <c:axId val="120417280"/>
      </c:scatterChart>
      <c:valAx>
        <c:axId val="120415744"/>
        <c:scaling>
          <c:orientation val="minMax"/>
          <c:max val="0.1"/>
          <c:min val="0"/>
        </c:scaling>
        <c:axPos val="b"/>
        <c:numFmt formatCode="0%" sourceLinked="0"/>
        <c:tickLblPos val="nextTo"/>
        <c:crossAx val="120417280"/>
        <c:crosses val="autoZero"/>
        <c:crossBetween val="midCat"/>
      </c:valAx>
      <c:valAx>
        <c:axId val="120417280"/>
        <c:scaling>
          <c:orientation val="minMax"/>
          <c:max val="1"/>
          <c:min val="0"/>
        </c:scaling>
        <c:axPos val="l"/>
        <c:numFmt formatCode="0%" sourceLinked="1"/>
        <c:tickLblPos val="nextTo"/>
        <c:crossAx val="120415744"/>
        <c:crosses val="autoZero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17</xdr:col>
      <xdr:colOff>9524</xdr:colOff>
      <xdr:row>30</xdr:row>
      <xdr:rowOff>161924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A2" sqref="A2"/>
    </sheetView>
  </sheetViews>
  <sheetFormatPr defaultColWidth="9" defaultRowHeight="14.25"/>
  <cols>
    <col min="1" max="16384" width="9" style="28"/>
  </cols>
  <sheetData>
    <row r="1" spans="1:6" ht="15.75">
      <c r="A1" s="29" t="s">
        <v>48</v>
      </c>
      <c r="E1" s="30"/>
      <c r="F1" s="30">
        <v>43049</v>
      </c>
    </row>
    <row r="3" spans="1:6">
      <c r="A3" s="28" t="s">
        <v>41</v>
      </c>
    </row>
    <row r="5" spans="1:6">
      <c r="A5" s="28" t="s">
        <v>42</v>
      </c>
    </row>
    <row r="6" spans="1:6">
      <c r="A6" s="31" t="s">
        <v>43</v>
      </c>
    </row>
    <row r="7" spans="1:6">
      <c r="B7" s="28" t="s">
        <v>44</v>
      </c>
    </row>
    <row r="8" spans="1:6">
      <c r="A8" s="31" t="s">
        <v>45</v>
      </c>
    </row>
    <row r="9" spans="1:6">
      <c r="A9" s="31" t="s">
        <v>46</v>
      </c>
    </row>
    <row r="10" spans="1:6">
      <c r="B10" s="28" t="s">
        <v>47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2"/>
  <sheetViews>
    <sheetView workbookViewId="0">
      <selection activeCell="F19" sqref="F19"/>
    </sheetView>
  </sheetViews>
  <sheetFormatPr defaultColWidth="9.140625" defaultRowHeight="12.75"/>
  <cols>
    <col min="1" max="1" width="9.140625" style="2"/>
    <col min="2" max="5" width="9.140625" style="2" customWidth="1"/>
    <col min="6" max="17" width="9.140625" style="2"/>
    <col min="18" max="18" width="9.28515625" style="2" bestFit="1" customWidth="1"/>
    <col min="19" max="16384" width="9.140625" style="2"/>
  </cols>
  <sheetData>
    <row r="1" spans="1:24" ht="15">
      <c r="A1" s="1" t="s">
        <v>14</v>
      </c>
      <c r="F1" s="3" t="s">
        <v>17</v>
      </c>
      <c r="G1" s="3" t="s">
        <v>20</v>
      </c>
      <c r="H1" s="15"/>
      <c r="M1" s="24"/>
      <c r="N1" s="19" t="s">
        <v>17</v>
      </c>
      <c r="O1" s="19" t="s">
        <v>18</v>
      </c>
      <c r="P1" s="19" t="s">
        <v>27</v>
      </c>
      <c r="Q1" s="24"/>
      <c r="R1" s="19" t="str">
        <f>F1</f>
        <v>Tr</v>
      </c>
      <c r="S1" s="25" t="s">
        <v>23</v>
      </c>
      <c r="T1" s="25" t="s">
        <v>24</v>
      </c>
      <c r="U1" s="25" t="s">
        <v>25</v>
      </c>
      <c r="V1" s="25" t="s">
        <v>26</v>
      </c>
      <c r="W1" s="25" t="s">
        <v>27</v>
      </c>
      <c r="X1" s="25" t="s">
        <v>40</v>
      </c>
    </row>
    <row r="2" spans="1:24">
      <c r="F2" s="32">
        <v>30</v>
      </c>
      <c r="G2" s="33">
        <v>6.0999999999999999E-2</v>
      </c>
      <c r="H2" s="16"/>
      <c r="I2" s="7" t="s">
        <v>11</v>
      </c>
      <c r="J2" s="7" t="s">
        <v>12</v>
      </c>
      <c r="M2" s="19" t="s">
        <v>32</v>
      </c>
      <c r="N2" s="20">
        <f>IF(F14&lt;F2,F2,VLOOKUP(F14,$F$2:$F$10,1,TRUE))</f>
        <v>475</v>
      </c>
      <c r="O2" s="26">
        <f>VLOOKUP(N2,$F$2:$X$10,2)</f>
        <v>0.25</v>
      </c>
      <c r="P2" s="26">
        <f>VLOOKUP(N2,$F$2:$X$10,18)</f>
        <v>0.42348712328071519</v>
      </c>
      <c r="Q2" s="24"/>
      <c r="R2" s="20">
        <f t="shared" ref="R2:R10" si="0">F2</f>
        <v>30</v>
      </c>
      <c r="S2" s="26">
        <f>LN(G2)</f>
        <v>-2.7968814148088259</v>
      </c>
      <c r="T2" s="26">
        <f>LN(F2)</f>
        <v>3.4011973816621555</v>
      </c>
      <c r="U2" s="26">
        <f t="shared" ref="U2:V4" si="1">S3-S2</f>
        <v>0.29584538309094199</v>
      </c>
      <c r="V2" s="26">
        <f t="shared" si="1"/>
        <v>0.5108256237659905</v>
      </c>
      <c r="W2" s="26">
        <f>W3</f>
        <v>0.49515645696750471</v>
      </c>
      <c r="X2" s="26">
        <f>X3</f>
        <v>2.0195636872521412</v>
      </c>
    </row>
    <row r="3" spans="1:24">
      <c r="A3" s="2" t="s">
        <v>19</v>
      </c>
      <c r="F3" s="32">
        <v>50</v>
      </c>
      <c r="G3" s="33">
        <v>8.2000000000000003E-2</v>
      </c>
      <c r="H3" s="16"/>
      <c r="I3" s="13">
        <f>SUM(F25:F30)</f>
        <v>5.4002882489721741E-3</v>
      </c>
      <c r="J3" s="14">
        <f>F19/G14</f>
        <v>1.18</v>
      </c>
      <c r="M3" s="24"/>
      <c r="N3" s="20"/>
      <c r="O3" s="26"/>
      <c r="P3" s="26"/>
      <c r="Q3" s="24"/>
      <c r="R3" s="20">
        <f t="shared" si="0"/>
        <v>50</v>
      </c>
      <c r="S3" s="26">
        <f>LN(G3)</f>
        <v>-2.5010360317178839</v>
      </c>
      <c r="T3" s="26">
        <f>LN(F3)</f>
        <v>3.912023005428146</v>
      </c>
      <c r="U3" s="26">
        <f t="shared" si="1"/>
        <v>1.1147416705979933</v>
      </c>
      <c r="V3" s="26">
        <f t="shared" si="1"/>
        <v>2.2512917986064953</v>
      </c>
      <c r="W3" s="26">
        <f>U3/V3</f>
        <v>0.49515645696750471</v>
      </c>
      <c r="X3" s="26">
        <f>1/W3</f>
        <v>2.0195636872521412</v>
      </c>
    </row>
    <row r="4" spans="1:24">
      <c r="A4" s="2" t="s">
        <v>16</v>
      </c>
      <c r="F4" s="32">
        <v>475</v>
      </c>
      <c r="G4" s="33">
        <v>0.25</v>
      </c>
      <c r="H4" s="16"/>
      <c r="I4" s="4"/>
      <c r="M4" s="24"/>
      <c r="N4" s="19" t="s">
        <v>18</v>
      </c>
      <c r="O4" s="19" t="s">
        <v>17</v>
      </c>
      <c r="P4" s="27" t="s">
        <v>13</v>
      </c>
      <c r="Q4" s="24"/>
      <c r="R4" s="20">
        <f t="shared" si="0"/>
        <v>475</v>
      </c>
      <c r="S4" s="26">
        <f>LN(G4)</f>
        <v>-1.3862943611198906</v>
      </c>
      <c r="T4" s="26">
        <f>LN(F4)</f>
        <v>6.1633148040346413</v>
      </c>
      <c r="U4" s="26">
        <f t="shared" si="1"/>
        <v>0.30453918951820391</v>
      </c>
      <c r="V4" s="26">
        <f t="shared" si="1"/>
        <v>0.71912266696320604</v>
      </c>
      <c r="W4" s="26">
        <f t="shared" ref="W4:W10" si="2">U4/V4</f>
        <v>0.42348712328071519</v>
      </c>
      <c r="X4" s="26">
        <f t="shared" ref="X4:X10" si="3">1/W4</f>
        <v>2.3613468864250073</v>
      </c>
    </row>
    <row r="5" spans="1:24">
      <c r="A5" s="2" t="s">
        <v>28</v>
      </c>
      <c r="F5" s="32">
        <v>975</v>
      </c>
      <c r="G5" s="33">
        <v>0.33900000000000002</v>
      </c>
      <c r="H5" s="16"/>
      <c r="I5" s="3" t="s">
        <v>10</v>
      </c>
      <c r="J5" s="3" t="s">
        <v>10</v>
      </c>
      <c r="L5" s="3"/>
      <c r="M5" s="19" t="s">
        <v>33</v>
      </c>
      <c r="N5" s="26" t="str">
        <f>IF(F17="","",IF(F17&lt;$G$2,$G$2,VLOOKUP(F17,$G$2:$G$10,1,TRUE)))</f>
        <v/>
      </c>
      <c r="O5" s="20" t="str">
        <f>IF(N5="","",VLOOKUP(N5,$G$2:$X$10,12))</f>
        <v/>
      </c>
      <c r="P5" s="26" t="str">
        <f>IF(N5="","",VLOOKUP(N5,$G$2:$X$10,18))</f>
        <v/>
      </c>
      <c r="Q5" s="24"/>
      <c r="R5" s="20">
        <f t="shared" si="0"/>
        <v>975</v>
      </c>
      <c r="S5" s="26">
        <f>LN(G5)</f>
        <v>-1.0817551716016867</v>
      </c>
      <c r="T5" s="26">
        <f>LN(F5)</f>
        <v>6.8824374709978473</v>
      </c>
      <c r="U5" s="26">
        <f>IF(S6="",U4,S6-S5)</f>
        <v>0.30453918951820391</v>
      </c>
      <c r="V5" s="26">
        <f>IF(T6="",V4,T6-T5)</f>
        <v>0.71912266696320604</v>
      </c>
      <c r="W5" s="26">
        <f t="shared" si="2"/>
        <v>0.42348712328071519</v>
      </c>
      <c r="X5" s="26">
        <f t="shared" si="3"/>
        <v>2.3613468864250073</v>
      </c>
    </row>
    <row r="6" spans="1:24">
      <c r="F6" s="10"/>
      <c r="G6" s="33"/>
      <c r="H6" s="16"/>
      <c r="I6" s="3" t="str">
        <f>MID("A+ A B C D E F G",2*I7-1,2)</f>
        <v xml:space="preserve"> A</v>
      </c>
      <c r="J6" s="3" t="str">
        <f>MID("A+ A B C D E F G",2*J7-1,2)</f>
        <v>A+</v>
      </c>
      <c r="M6" s="19" t="s">
        <v>36</v>
      </c>
      <c r="N6" s="26">
        <f>IF(F18&lt;$G$2,$G$2,VLOOKUP(F18,$G$2:$G$10,1,TRUE))</f>
        <v>8.2000000000000003E-2</v>
      </c>
      <c r="O6" s="20">
        <f>VLOOKUP(N6,$G$2:$X$10,12)</f>
        <v>50</v>
      </c>
      <c r="P6" s="26">
        <f>VLOOKUP(N6,$G$2:$X$10,18)</f>
        <v>2.0195636872521412</v>
      </c>
      <c r="Q6" s="24"/>
      <c r="R6" s="20">
        <f t="shared" si="0"/>
        <v>0</v>
      </c>
      <c r="S6" s="26" t="str">
        <f>IF(G6="","",LN(G6))</f>
        <v/>
      </c>
      <c r="T6" s="26" t="str">
        <f>IF(F6="","",LN(F6))</f>
        <v/>
      </c>
      <c r="U6" s="26">
        <f t="shared" ref="U6:U10" si="4">IF(S7="",U5,S7-S6)</f>
        <v>0.30453918951820391</v>
      </c>
      <c r="V6" s="26">
        <f t="shared" ref="V6:V10" si="5">IF(T7="",V5,T7-T6)</f>
        <v>0.71912266696320604</v>
      </c>
      <c r="W6" s="26">
        <f t="shared" si="2"/>
        <v>0.42348712328071519</v>
      </c>
      <c r="X6" s="26">
        <f t="shared" si="3"/>
        <v>2.3613468864250073</v>
      </c>
    </row>
    <row r="7" spans="1:24">
      <c r="A7" s="2" t="s">
        <v>21</v>
      </c>
      <c r="F7" s="10"/>
      <c r="G7" s="33"/>
      <c r="H7" s="16"/>
      <c r="I7" s="6" t="str">
        <f>IF(I3&lt;0.08,MID("1234455667777778888888888",INT(I3*200)+1,1),"8")</f>
        <v>2</v>
      </c>
      <c r="J7" s="6" t="str">
        <f>IF(J3&lt;=1,MID("77766655544433332222",INT(J3*20-0.0000001)+1,1),"1")</f>
        <v>1</v>
      </c>
      <c r="M7" s="19" t="s">
        <v>35</v>
      </c>
      <c r="N7" s="26">
        <f>IF(F19&lt;$G$2,$G$2,VLOOKUP(F19,$G$2:$G$10,1,TRUE))</f>
        <v>0.25</v>
      </c>
      <c r="O7" s="20">
        <f>VLOOKUP(N7,$G$2:$X$10,12)</f>
        <v>475</v>
      </c>
      <c r="P7" s="26">
        <f>VLOOKUP(N7,$G$2:$X$10,18)</f>
        <v>2.3613468864250073</v>
      </c>
      <c r="Q7" s="24"/>
      <c r="R7" s="20">
        <f t="shared" si="0"/>
        <v>0</v>
      </c>
      <c r="S7" s="26" t="str">
        <f>IF(G7="","",LN(G7))</f>
        <v/>
      </c>
      <c r="T7" s="26" t="str">
        <f>IF(F7="","",LN(F7))</f>
        <v/>
      </c>
      <c r="U7" s="26">
        <f t="shared" si="4"/>
        <v>0.30453918951820391</v>
      </c>
      <c r="V7" s="26">
        <f t="shared" si="5"/>
        <v>0.71912266696320604</v>
      </c>
      <c r="W7" s="26">
        <f t="shared" si="2"/>
        <v>0.42348712328071519</v>
      </c>
      <c r="X7" s="26">
        <f t="shared" si="3"/>
        <v>2.3613468864250073</v>
      </c>
    </row>
    <row r="8" spans="1:24">
      <c r="F8" s="10"/>
      <c r="G8" s="33"/>
      <c r="H8" s="16"/>
      <c r="M8" s="19" t="s">
        <v>34</v>
      </c>
      <c r="N8" s="26" t="str">
        <f>IF(F20="","",IF(F20&lt;$G$2,$G$2,VLOOKUP(F20,$G$2:$G$10,1,TRUE)))</f>
        <v/>
      </c>
      <c r="O8" s="20" t="str">
        <f>IF(N8="","",VLOOKUP(N8,$G$2:$X$10,12))</f>
        <v/>
      </c>
      <c r="P8" s="26" t="str">
        <f>IF(N8="","",VLOOKUP(N8,$G$2:$X$10,18))</f>
        <v/>
      </c>
      <c r="Q8" s="24"/>
      <c r="R8" s="20">
        <f t="shared" si="0"/>
        <v>0</v>
      </c>
      <c r="S8" s="26" t="str">
        <f>IF(G8="","",LN(G8))</f>
        <v/>
      </c>
      <c r="T8" s="26" t="str">
        <f>IF(F8="","",LN(F8))</f>
        <v/>
      </c>
      <c r="U8" s="26">
        <f t="shared" si="4"/>
        <v>0.30453918951820391</v>
      </c>
      <c r="V8" s="26">
        <f t="shared" si="5"/>
        <v>0.71912266696320604</v>
      </c>
      <c r="W8" s="26">
        <f t="shared" si="2"/>
        <v>0.42348712328071519</v>
      </c>
      <c r="X8" s="26">
        <f t="shared" si="3"/>
        <v>2.3613468864250073</v>
      </c>
    </row>
    <row r="9" spans="1:24" ht="15">
      <c r="F9" s="10"/>
      <c r="G9" s="33"/>
      <c r="H9" s="16"/>
      <c r="I9" s="18" t="str">
        <f>CONCATENATE("l'edificio è di classe ",MID("A+ A B C D E F G",2*MAX(VALUE(I7),VALUE(J7))-1,2))</f>
        <v>l'edificio è di classe  A</v>
      </c>
      <c r="J9" s="17"/>
      <c r="K9" s="8"/>
      <c r="M9" s="24"/>
      <c r="N9" s="24"/>
      <c r="O9" s="24"/>
      <c r="P9" s="24"/>
      <c r="Q9" s="24"/>
      <c r="R9" s="20">
        <f t="shared" si="0"/>
        <v>0</v>
      </c>
      <c r="S9" s="26" t="str">
        <f>IF(G9="","",LN(G9))</f>
        <v/>
      </c>
      <c r="T9" s="26" t="str">
        <f>IF(F9="","",LN(F9))</f>
        <v/>
      </c>
      <c r="U9" s="26">
        <f t="shared" si="4"/>
        <v>0.30453918951820391</v>
      </c>
      <c r="V9" s="26">
        <f t="shared" si="5"/>
        <v>0.71912266696320604</v>
      </c>
      <c r="W9" s="26">
        <f t="shared" si="2"/>
        <v>0.42348712328071519</v>
      </c>
      <c r="X9" s="26">
        <f t="shared" si="3"/>
        <v>2.3613468864250073</v>
      </c>
    </row>
    <row r="10" spans="1:24">
      <c r="F10" s="10"/>
      <c r="G10" s="33"/>
      <c r="H10" s="16"/>
      <c r="M10" s="24"/>
      <c r="N10" s="24"/>
      <c r="O10" s="24"/>
      <c r="P10" s="24"/>
      <c r="Q10" s="24"/>
      <c r="R10" s="20">
        <f t="shared" si="0"/>
        <v>0</v>
      </c>
      <c r="S10" s="26" t="str">
        <f>IF(G10="","",LN(G10))</f>
        <v/>
      </c>
      <c r="T10" s="26" t="str">
        <f>IF(F10="","",LN(F10))</f>
        <v/>
      </c>
      <c r="U10" s="26">
        <f t="shared" si="4"/>
        <v>0.30453918951820391</v>
      </c>
      <c r="V10" s="26">
        <f t="shared" si="5"/>
        <v>0.71912266696320604</v>
      </c>
      <c r="W10" s="26">
        <f t="shared" si="2"/>
        <v>0.42348712328071519</v>
      </c>
      <c r="X10" s="26">
        <f t="shared" si="3"/>
        <v>2.3613468864250073</v>
      </c>
    </row>
    <row r="12" spans="1:24" ht="15">
      <c r="A12" s="1" t="s">
        <v>31</v>
      </c>
      <c r="D12" s="3"/>
    </row>
    <row r="13" spans="1:24">
      <c r="E13" s="3"/>
      <c r="F13" s="3" t="s">
        <v>17</v>
      </c>
      <c r="G13" s="3" t="s">
        <v>20</v>
      </c>
    </row>
    <row r="14" spans="1:24">
      <c r="A14" s="2" t="s">
        <v>37</v>
      </c>
      <c r="E14" s="3" t="s">
        <v>0</v>
      </c>
      <c r="F14" s="9">
        <v>475</v>
      </c>
      <c r="G14" s="12">
        <f>O2*(F14/N2)^P2</f>
        <v>0.25</v>
      </c>
    </row>
    <row r="16" spans="1:24" ht="15">
      <c r="A16" s="1" t="s">
        <v>29</v>
      </c>
      <c r="E16" s="3" t="s">
        <v>22</v>
      </c>
      <c r="F16" s="3" t="s">
        <v>20</v>
      </c>
      <c r="G16" s="3" t="s">
        <v>17</v>
      </c>
    </row>
    <row r="17" spans="1:7">
      <c r="E17" s="3" t="s">
        <v>5</v>
      </c>
      <c r="F17" s="11"/>
      <c r="G17" s="5">
        <f>IF(F17="",G18*30/50,O5*(F17/N5)^P5)</f>
        <v>170.77079164241485</v>
      </c>
    </row>
    <row r="18" spans="1:7">
      <c r="A18" s="2" t="s">
        <v>38</v>
      </c>
      <c r="E18" s="3" t="s">
        <v>1</v>
      </c>
      <c r="F18" s="11">
        <v>0.19400000000000001</v>
      </c>
      <c r="G18" s="5">
        <f>O6*(F18/N6)^P6</f>
        <v>284.61798607069142</v>
      </c>
    </row>
    <row r="19" spans="1:7">
      <c r="A19" s="2" t="s">
        <v>39</v>
      </c>
      <c r="E19" s="3" t="s">
        <v>0</v>
      </c>
      <c r="F19" s="11">
        <v>0.29499999999999998</v>
      </c>
      <c r="G19" s="5">
        <f>O7*(F19/N7)^P7</f>
        <v>702.15333632831596</v>
      </c>
    </row>
    <row r="20" spans="1:7">
      <c r="A20" s="2" t="s">
        <v>30</v>
      </c>
      <c r="E20" s="3" t="s">
        <v>4</v>
      </c>
      <c r="F20" s="11"/>
      <c r="G20" s="5">
        <f>IF(F20="",G19*975/475,O8*(F20/N8)^P8)</f>
        <v>1441.2621114107537</v>
      </c>
    </row>
    <row r="24" spans="1:7">
      <c r="A24" s="19"/>
      <c r="B24" s="19" t="s">
        <v>2</v>
      </c>
      <c r="C24" s="19" t="s">
        <v>3</v>
      </c>
      <c r="D24" s="19" t="s">
        <v>15</v>
      </c>
      <c r="E24" s="19" t="s">
        <v>8</v>
      </c>
      <c r="F24" s="19" t="s">
        <v>9</v>
      </c>
    </row>
    <row r="25" spans="1:7">
      <c r="A25" s="19" t="s">
        <v>6</v>
      </c>
      <c r="B25" s="19"/>
      <c r="C25" s="20">
        <v>10</v>
      </c>
      <c r="D25" s="21">
        <v>0.1</v>
      </c>
      <c r="E25" s="22">
        <v>0</v>
      </c>
      <c r="F25" s="21">
        <f>(D25-D26)*(E25+E26)/2</f>
        <v>3.295046918367117E-3</v>
      </c>
    </row>
    <row r="26" spans="1:7">
      <c r="A26" s="19" t="s">
        <v>5</v>
      </c>
      <c r="B26" s="23" t="str">
        <f>IF(F17="","",F17)</f>
        <v/>
      </c>
      <c r="C26" s="20">
        <f>MAX(C25,MIN(G17,C27))</f>
        <v>170.77079164241485</v>
      </c>
      <c r="D26" s="21">
        <f>MAX(1/C26,D28)</f>
        <v>5.855802332368102E-3</v>
      </c>
      <c r="E26" s="22">
        <v>7.0000000000000007E-2</v>
      </c>
      <c r="F26" s="21">
        <f>(D26-D27)*(E26+E27)/2</f>
        <v>2.5765530262419651E-4</v>
      </c>
    </row>
    <row r="27" spans="1:7">
      <c r="A27" s="19" t="s">
        <v>1</v>
      </c>
      <c r="B27" s="23">
        <f>F18</f>
        <v>0.19400000000000001</v>
      </c>
      <c r="C27" s="20">
        <f>MAX(C25,MIN(G18,C28))</f>
        <v>284.61798607069142</v>
      </c>
      <c r="D27" s="21">
        <f>MAX(1/C27,D28)</f>
        <v>3.5134813994208611E-3</v>
      </c>
      <c r="E27" s="22">
        <v>0.15</v>
      </c>
      <c r="F27" s="21">
        <f>(D27-D28)*(E27+E28)/2</f>
        <v>6.7901959375521557E-4</v>
      </c>
    </row>
    <row r="28" spans="1:7">
      <c r="A28" s="19" t="s">
        <v>0</v>
      </c>
      <c r="B28" s="23">
        <f>F19</f>
        <v>0.29499999999999998</v>
      </c>
      <c r="C28" s="20">
        <f>MAX(C25,MIN(G19,G20))</f>
        <v>702.15333632831596</v>
      </c>
      <c r="D28" s="21">
        <f>1/C28</f>
        <v>1.4241903417125054E-3</v>
      </c>
      <c r="E28" s="22">
        <v>0.5</v>
      </c>
      <c r="F28" s="21">
        <f>(D28-D29)*(E28+E29)/2</f>
        <v>4.7473011390416846E-4</v>
      </c>
    </row>
    <row r="29" spans="1:7">
      <c r="A29" s="19" t="s">
        <v>4</v>
      </c>
      <c r="B29" s="23" t="str">
        <f>IF(F20="","",F20)</f>
        <v/>
      </c>
      <c r="C29" s="20">
        <f>G20</f>
        <v>1441.2621114107537</v>
      </c>
      <c r="D29" s="21">
        <f>1/C29</f>
        <v>6.93836320321477E-4</v>
      </c>
      <c r="E29" s="22">
        <v>0.8</v>
      </c>
      <c r="F29" s="21">
        <f t="shared" ref="F29:F30" si="6">(D29-D30)*(E29+E30)/2</f>
        <v>0</v>
      </c>
    </row>
    <row r="30" spans="1:7">
      <c r="A30" s="19" t="s">
        <v>7</v>
      </c>
      <c r="B30" s="24"/>
      <c r="C30" s="20">
        <f>C29</f>
        <v>1441.2621114107537</v>
      </c>
      <c r="D30" s="21">
        <f>D29</f>
        <v>6.93836320321477E-4</v>
      </c>
      <c r="E30" s="22">
        <v>1</v>
      </c>
      <c r="F30" s="21">
        <f t="shared" si="6"/>
        <v>6.93836320321477E-4</v>
      </c>
    </row>
    <row r="31" spans="1:7">
      <c r="A31" s="24"/>
      <c r="B31" s="24"/>
      <c r="C31" s="24"/>
      <c r="D31" s="21">
        <v>0</v>
      </c>
      <c r="E31" s="22">
        <v>1</v>
      </c>
      <c r="F31" s="24"/>
    </row>
    <row r="32" spans="1:7">
      <c r="A32" s="3"/>
      <c r="B32" s="3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classe sismica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2017-03-31T10:21:04Z</dcterms:created>
  <dcterms:modified xsi:type="dcterms:W3CDTF">2017-11-18T22:41:35Z</dcterms:modified>
</cp:coreProperties>
</file>