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235" windowHeight="11055" activeTab="1"/>
  </bookViews>
  <sheets>
    <sheet name="Istruzioni" sheetId="18" r:id="rId1"/>
    <sheet name="classe sismica " sheetId="15" r:id="rId2"/>
  </sheets>
  <calcPr calcId="125725"/>
</workbook>
</file>

<file path=xl/calcChain.xml><?xml version="1.0" encoding="utf-8"?>
<calcChain xmlns="http://schemas.openxmlformats.org/spreadsheetml/2006/main">
  <c r="P2" i="15"/>
  <c r="O2"/>
  <c r="G14" s="1"/>
  <c r="N2"/>
  <c r="V21" l="1"/>
  <c r="V22"/>
  <c r="V23"/>
  <c r="V20"/>
  <c r="U20"/>
  <c r="U22"/>
  <c r="U23"/>
  <c r="U21"/>
  <c r="AN18"/>
  <c r="AN19"/>
  <c r="AN20"/>
  <c r="AN21"/>
  <c r="AN22"/>
  <c r="AN23"/>
  <c r="AN24"/>
  <c r="AN25"/>
  <c r="AN17"/>
  <c r="N6"/>
  <c r="N7"/>
  <c r="N8"/>
  <c r="N5"/>
  <c r="T21"/>
  <c r="T22"/>
  <c r="T23"/>
  <c r="T20"/>
  <c r="T17"/>
  <c r="U17" s="1"/>
  <c r="S2"/>
  <c r="S3"/>
  <c r="S4"/>
  <c r="S5"/>
  <c r="W19"/>
  <c r="AI19" s="1"/>
  <c r="AK18" s="1"/>
  <c r="W20"/>
  <c r="W21" s="1"/>
  <c r="W22" s="1"/>
  <c r="W23" s="1"/>
  <c r="W24" s="1"/>
  <c r="W25" s="1"/>
  <c r="AI25" s="1"/>
  <c r="W18"/>
  <c r="AI18" s="1"/>
  <c r="X19"/>
  <c r="AE19" s="1"/>
  <c r="Y19"/>
  <c r="Z19"/>
  <c r="X20"/>
  <c r="X21" s="1"/>
  <c r="Y20"/>
  <c r="Y21" s="1"/>
  <c r="Y22" s="1"/>
  <c r="Y23" s="1"/>
  <c r="Y24" s="1"/>
  <c r="Y25" s="1"/>
  <c r="Z20"/>
  <c r="Z21" s="1"/>
  <c r="Z22" s="1"/>
  <c r="X18"/>
  <c r="AE18" s="1"/>
  <c r="Y18"/>
  <c r="Z18"/>
  <c r="Z17"/>
  <c r="AD6"/>
  <c r="AE5"/>
  <c r="AD5"/>
  <c r="AG4"/>
  <c r="AF4"/>
  <c r="AE4"/>
  <c r="AD4"/>
  <c r="Y17"/>
  <c r="X17"/>
  <c r="AE17" s="1"/>
  <c r="W17"/>
  <c r="AI17" s="1"/>
  <c r="G23"/>
  <c r="P8" l="1"/>
  <c r="O7"/>
  <c r="O6"/>
  <c r="O5"/>
  <c r="O8"/>
  <c r="P6"/>
  <c r="P7"/>
  <c r="P5"/>
  <c r="V17"/>
  <c r="AD17"/>
  <c r="AC17" s="1"/>
  <c r="AK17"/>
  <c r="AI23"/>
  <c r="AD20"/>
  <c r="AC20" s="1"/>
  <c r="AI24"/>
  <c r="AD18"/>
  <c r="AC18" s="1"/>
  <c r="AD19"/>
  <c r="AC19" s="1"/>
  <c r="U2"/>
  <c r="AI20"/>
  <c r="AK19" s="1"/>
  <c r="AI21"/>
  <c r="AI22"/>
  <c r="AA20"/>
  <c r="AB20" s="1"/>
  <c r="AF20" s="1"/>
  <c r="AE21"/>
  <c r="X22"/>
  <c r="AA22" s="1"/>
  <c r="AB22" s="1"/>
  <c r="AF22" s="1"/>
  <c r="Z23"/>
  <c r="AD22"/>
  <c r="AC22" s="1"/>
  <c r="AE20"/>
  <c r="AD21"/>
  <c r="AC21" s="1"/>
  <c r="AA21"/>
  <c r="AB21" s="1"/>
  <c r="AF21" s="1"/>
  <c r="AA19"/>
  <c r="AB19" s="1"/>
  <c r="AF19" s="1"/>
  <c r="AG19" s="1"/>
  <c r="AH19" s="1"/>
  <c r="AJ18" s="1"/>
  <c r="AL18" s="1"/>
  <c r="AM18" s="1"/>
  <c r="AM17" s="1"/>
  <c r="AA18"/>
  <c r="AB18" s="1"/>
  <c r="AF18" s="1"/>
  <c r="AG18" s="1"/>
  <c r="AH18" s="1"/>
  <c r="AA17"/>
  <c r="AB17" s="1"/>
  <c r="AF17" s="1"/>
  <c r="R2"/>
  <c r="R3"/>
  <c r="R4"/>
  <c r="R5"/>
  <c r="R6"/>
  <c r="R7"/>
  <c r="R8"/>
  <c r="R9"/>
  <c r="R10"/>
  <c r="R1"/>
  <c r="T2"/>
  <c r="T3"/>
  <c r="B33"/>
  <c r="B32"/>
  <c r="B31"/>
  <c r="B30"/>
  <c r="T10"/>
  <c r="S10"/>
  <c r="T9"/>
  <c r="S9"/>
  <c r="T8"/>
  <c r="S8"/>
  <c r="T7"/>
  <c r="S7"/>
  <c r="T6"/>
  <c r="S6"/>
  <c r="T5"/>
  <c r="T4"/>
  <c r="U3"/>
  <c r="AK20" l="1"/>
  <c r="AK21" s="1"/>
  <c r="AK22" s="1"/>
  <c r="AK23" s="1"/>
  <c r="AK24" s="1"/>
  <c r="AK25" s="1"/>
  <c r="AG17"/>
  <c r="AH17" s="1"/>
  <c r="AJ17" s="1"/>
  <c r="AG20"/>
  <c r="AH20" s="1"/>
  <c r="AJ19" s="1"/>
  <c r="V3"/>
  <c r="AL17"/>
  <c r="AG21"/>
  <c r="AH21" s="1"/>
  <c r="AD23"/>
  <c r="AC23" s="1"/>
  <c r="Z24"/>
  <c r="X23"/>
  <c r="AE22"/>
  <c r="AG22" s="1"/>
  <c r="AH22" s="1"/>
  <c r="V2"/>
  <c r="V4"/>
  <c r="V5" s="1"/>
  <c r="V6" s="1"/>
  <c r="V7" s="1"/>
  <c r="V8" s="1"/>
  <c r="V9" s="1"/>
  <c r="V10" s="1"/>
  <c r="U4"/>
  <c r="U5" s="1"/>
  <c r="U6" s="1"/>
  <c r="U7" s="1"/>
  <c r="U8" s="1"/>
  <c r="U9" s="1"/>
  <c r="U10" s="1"/>
  <c r="AJ20" l="1"/>
  <c r="AL19"/>
  <c r="AM19" s="1"/>
  <c r="X24"/>
  <c r="AE23"/>
  <c r="AA23"/>
  <c r="AB23" s="1"/>
  <c r="AF23" s="1"/>
  <c r="AG23" s="1"/>
  <c r="AH23" s="1"/>
  <c r="Z25"/>
  <c r="AD25" s="1"/>
  <c r="AC25" s="1"/>
  <c r="AD24"/>
  <c r="AC24" s="1"/>
  <c r="W9"/>
  <c r="X9" s="1"/>
  <c r="W8"/>
  <c r="X8" s="1"/>
  <c r="W6"/>
  <c r="X6" s="1"/>
  <c r="W4"/>
  <c r="X4" s="1"/>
  <c r="G19" s="1"/>
  <c r="G20" s="1"/>
  <c r="C33" s="1"/>
  <c r="W5"/>
  <c r="X5" s="1"/>
  <c r="W7"/>
  <c r="X7" s="1"/>
  <c r="W3"/>
  <c r="W2" s="1"/>
  <c r="W10"/>
  <c r="X10" s="1"/>
  <c r="AJ21" l="1"/>
  <c r="AL20"/>
  <c r="AM20" s="1"/>
  <c r="AE24"/>
  <c r="X25"/>
  <c r="AA24"/>
  <c r="AB24" s="1"/>
  <c r="AF24" s="1"/>
  <c r="AG24" s="1"/>
  <c r="AH24" s="1"/>
  <c r="X3"/>
  <c r="X2" s="1"/>
  <c r="K3"/>
  <c r="K7" s="1"/>
  <c r="K6" s="1"/>
  <c r="C32"/>
  <c r="D32" s="1"/>
  <c r="C34"/>
  <c r="D33"/>
  <c r="AJ22" l="1"/>
  <c r="AL21"/>
  <c r="AM21" s="1"/>
  <c r="AE25"/>
  <c r="AA25"/>
  <c r="AB25" s="1"/>
  <c r="AF25" s="1"/>
  <c r="AG25" s="1"/>
  <c r="AH25" s="1"/>
  <c r="G18"/>
  <c r="G17" s="1"/>
  <c r="F32"/>
  <c r="D34"/>
  <c r="F34" s="1"/>
  <c r="AJ23" l="1"/>
  <c r="AL22"/>
  <c r="AM22" s="1"/>
  <c r="C31"/>
  <c r="D31" s="1"/>
  <c r="F31" s="1"/>
  <c r="F33"/>
  <c r="AJ24" l="1"/>
  <c r="AL23"/>
  <c r="AM23" s="1"/>
  <c r="C30"/>
  <c r="D30" s="1"/>
  <c r="F29" s="1"/>
  <c r="AJ25" l="1"/>
  <c r="AL25" s="1"/>
  <c r="AM25" s="1"/>
  <c r="AL24"/>
  <c r="AM24" s="1"/>
  <c r="F30"/>
  <c r="J3" s="1"/>
  <c r="J7" s="1"/>
  <c r="J9" s="1"/>
  <c r="J6" l="1"/>
</calcChain>
</file>

<file path=xl/sharedStrings.xml><?xml version="1.0" encoding="utf-8"?>
<sst xmlns="http://schemas.openxmlformats.org/spreadsheetml/2006/main" count="106" uniqueCount="75">
  <si>
    <t>SLV</t>
  </si>
  <si>
    <t>SLD</t>
  </si>
  <si>
    <t>ag (C)</t>
  </si>
  <si>
    <t>Tr (C)</t>
  </si>
  <si>
    <t>SLC</t>
  </si>
  <si>
    <t>SLO</t>
  </si>
  <si>
    <t>SLID</t>
  </si>
  <si>
    <t>SLR</t>
  </si>
  <si>
    <t>CR</t>
  </si>
  <si>
    <t>dA</t>
  </si>
  <si>
    <t>classe</t>
  </si>
  <si>
    <t>PAM</t>
  </si>
  <si>
    <t>IS-V</t>
  </si>
  <si>
    <t>h</t>
  </si>
  <si>
    <t>Pericolosità sismica del sito</t>
  </si>
  <si>
    <t>l (C)</t>
  </si>
  <si>
    <t>per consentire interpolazione</t>
  </si>
  <si>
    <t>Tr</t>
  </si>
  <si>
    <t>ag</t>
  </si>
  <si>
    <t>Indicare i valori di PGA per più periodi di ritorno</t>
  </si>
  <si>
    <t>ag (PGA)</t>
  </si>
  <si>
    <t>Dall'alto verso il basso indicare Tr crescente</t>
  </si>
  <si>
    <t>SL</t>
  </si>
  <si>
    <t>ln ag</t>
  </si>
  <si>
    <t>ln Tr</t>
  </si>
  <si>
    <t>d ln ag</t>
  </si>
  <si>
    <t>d ln Tr</t>
  </si>
  <si>
    <t>rapp</t>
  </si>
  <si>
    <t>(come minimo 4, max 9)</t>
  </si>
  <si>
    <t>Capacità</t>
  </si>
  <si>
    <t>(almeno SLD e SLV)</t>
  </si>
  <si>
    <t>Domanda per SLV</t>
  </si>
  <si>
    <t>SLV (D)</t>
  </si>
  <si>
    <t>SLO (C)</t>
  </si>
  <si>
    <t>SLC (C)</t>
  </si>
  <si>
    <t>SLV (C)</t>
  </si>
  <si>
    <t>SLD (C)</t>
  </si>
  <si>
    <t>Indicare il periodo di ritorno per SLV</t>
  </si>
  <si>
    <t>al raggiungimento degli stati limite</t>
  </si>
  <si>
    <r>
      <rPr>
        <sz val="11"/>
        <color theme="0" tint="-0.499984740745262"/>
        <rFont val="Symbol"/>
        <family val="1"/>
        <charset val="2"/>
      </rPr>
      <t>h</t>
    </r>
    <r>
      <rPr>
        <sz val="11"/>
        <color theme="0" tint="-0.499984740745262"/>
        <rFont val="Calibri"/>
        <family val="2"/>
        <scheme val="minor"/>
      </rPr>
      <t>=1/rapp</t>
    </r>
  </si>
  <si>
    <t>Questo file consente di calcolare la classe di rischio sismico di un edificio</t>
  </si>
  <si>
    <t>Occorre fornire:</t>
  </si>
  <si>
    <t>-  i dati relativi alla pericolosità sismica del sito (coppie periodo di ritorno-accelerazione)</t>
  </si>
  <si>
    <t>almeno 4 coppie, non più di 9</t>
  </si>
  <si>
    <t>-  il periodo di ritorno previsto dalla normativa per SLV (per la classe d'uso dell'edificio)</t>
  </si>
  <si>
    <t>-  il valore dell'accelerazione che corrisponde al raggiungimento degli stati limite</t>
  </si>
  <si>
    <t>almeno per SLD e SLV</t>
  </si>
  <si>
    <t>Classe di rischio sismico - vers. 2.2</t>
  </si>
  <si>
    <t>categoria topografica</t>
  </si>
  <si>
    <t>T1</t>
  </si>
  <si>
    <t>posizione</t>
  </si>
  <si>
    <t>smorzamento</t>
  </si>
  <si>
    <t>suolo</t>
  </si>
  <si>
    <t>C</t>
  </si>
  <si>
    <t>periodo fondamentale T1</t>
  </si>
  <si>
    <t>Parametri</t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</si>
  <si>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</si>
  <si>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</si>
  <si>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S</t>
  </si>
  <si>
    <t>Fo</t>
  </si>
  <si>
    <r>
      <t>F</t>
    </r>
    <r>
      <rPr>
        <vertAlign val="subscript"/>
        <sz val="10"/>
        <rFont val="Arial"/>
        <family val="2"/>
      </rPr>
      <t>o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</si>
  <si>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</si>
  <si>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</si>
  <si>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</si>
  <si>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</si>
  <si>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T</t>
    </r>
    <r>
      <rPr>
        <vertAlign val="subscript"/>
        <sz val="10"/>
        <rFont val="Arial"/>
        <family val="2"/>
      </rPr>
      <t>r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</si>
  <si>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</si>
  <si>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r>
      <t>a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(PGA)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</si>
  <si>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</si>
  <si>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</si>
  <si>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a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(T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</t>
    </r>
  </si>
  <si>
    <r>
      <rPr>
        <sz val="11"/>
        <rFont val="Symbol"/>
        <family val="1"/>
        <charset val="2"/>
      </rPr>
      <t>h</t>
    </r>
    <r>
      <rPr>
        <sz val="11"/>
        <rFont val="Calibri"/>
        <family val="2"/>
        <scheme val="minor"/>
      </rPr>
      <t>=1/rapp</t>
    </r>
  </si>
  <si>
    <r>
      <t>Indicare l'accelerazione a</t>
    </r>
    <r>
      <rPr>
        <sz val="8"/>
        <color theme="1"/>
        <rFont val="Arial"/>
        <family val="2"/>
      </rPr>
      <t>g</t>
    </r>
    <r>
      <rPr>
        <sz val="10"/>
        <color theme="1"/>
        <rFont val="Arial"/>
        <family val="2"/>
      </rPr>
      <t>(T</t>
    </r>
    <r>
      <rPr>
        <sz val="8"/>
        <color theme="1"/>
        <rFont val="Arial"/>
        <family val="2"/>
      </rPr>
      <t>1</t>
    </r>
    <r>
      <rPr>
        <sz val="10"/>
        <color theme="1"/>
        <rFont val="Arial"/>
        <family val="2"/>
      </rPr>
      <t>) corrispondente</t>
    </r>
  </si>
  <si>
    <t>ag(T1)</t>
  </si>
  <si>
    <t>IN PREPARAZIONE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</si>
</sst>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%"/>
    <numFmt numFmtId="166" formatCode="0.0"/>
    <numFmt numFmtId="167" formatCode="0.0%"/>
    <numFmt numFmtId="168" formatCode="0.0000"/>
    <numFmt numFmtId="169" formatCode="[$-410]mmm\-yy;@"/>
  </numFmts>
  <fonts count="18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theme="1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Symbol"/>
      <family val="1"/>
      <charset val="2"/>
    </font>
    <font>
      <sz val="10"/>
      <color theme="0" tint="-0.499984740745262"/>
      <name val="Symbol"/>
      <family val="1"/>
      <charset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vertAlign val="subscript"/>
      <sz val="10"/>
      <color theme="0" tint="-0.499984740745262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  <scheme val="minor"/>
    </font>
    <font>
      <sz val="11"/>
      <name val="Symbol"/>
      <family val="1"/>
      <charset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168" fontId="2" fillId="2" borderId="1" xfId="0" applyNumberFormat="1" applyFont="1" applyFill="1" applyBorder="1" applyAlignment="1" applyProtection="1">
      <alignment horizontal="center"/>
      <protection locked="0"/>
    </xf>
    <xf numFmtId="168" fontId="2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169" fontId="11" fillId="0" borderId="0" xfId="1" applyNumberFormat="1" applyAlignment="1" applyProtection="1">
      <alignment horizontal="center"/>
    </xf>
    <xf numFmtId="0" fontId="9" fillId="0" borderId="0" xfId="0" quotePrefix="1" applyFont="1"/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9" fontId="11" fillId="2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9" fontId="2" fillId="0" borderId="0" xfId="0" applyNumberFormat="1" applyFont="1"/>
    <xf numFmtId="0" fontId="1" fillId="0" borderId="0" xfId="0" applyFont="1" applyAlignment="1">
      <alignment horizontal="left"/>
    </xf>
    <xf numFmtId="164" fontId="1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Font="1" applyFill="1"/>
    <xf numFmtId="0" fontId="15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FFFF99"/>
      <color rgb="FF006600"/>
      <color rgb="FF4A7EBB"/>
      <color rgb="FF4F81B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'!$D$29:$D$35</c:f>
              <c:numCache>
                <c:formatCode>0.000%</c:formatCode>
                <c:ptCount val="7"/>
                <c:pt idx="0">
                  <c:v>0.1</c:v>
                </c:pt>
                <c:pt idx="1">
                  <c:v>6.4501983196911944E-3</c:v>
                </c:pt>
                <c:pt idx="2">
                  <c:v>3.8701189918147164E-3</c:v>
                </c:pt>
                <c:pt idx="3">
                  <c:v>1.3168306122657274E-3</c:v>
                </c:pt>
                <c:pt idx="4">
                  <c:v>6.4153286238586725E-4</c:v>
                </c:pt>
                <c:pt idx="5">
                  <c:v>6.4153286238586725E-4</c:v>
                </c:pt>
                <c:pt idx="6">
                  <c:v>0</c:v>
                </c:pt>
              </c:numCache>
            </c:numRef>
          </c:xVal>
          <c:yVal>
            <c:numRef>
              <c:f>'classe sismica '!$E$29:$E$35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67448832"/>
        <c:axId val="67450752"/>
      </c:scatterChart>
      <c:valAx>
        <c:axId val="67448832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67450752"/>
        <c:crosses val="autoZero"/>
        <c:crossBetween val="midCat"/>
      </c:valAx>
      <c:valAx>
        <c:axId val="67450752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67448832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H1" sqref="H1"/>
    </sheetView>
  </sheetViews>
  <sheetFormatPr defaultColWidth="9" defaultRowHeight="14.25"/>
  <cols>
    <col min="1" max="16384" width="9" style="24"/>
  </cols>
  <sheetData>
    <row r="1" spans="1:8" ht="15.75">
      <c r="A1" s="25" t="s">
        <v>47</v>
      </c>
      <c r="E1" s="26"/>
      <c r="F1" s="26">
        <v>43149</v>
      </c>
      <c r="H1" s="24" t="s">
        <v>74</v>
      </c>
    </row>
    <row r="3" spans="1:8">
      <c r="A3" s="24" t="s">
        <v>40</v>
      </c>
    </row>
    <row r="5" spans="1:8">
      <c r="A5" s="24" t="s">
        <v>41</v>
      </c>
    </row>
    <row r="6" spans="1:8">
      <c r="A6" s="27" t="s">
        <v>42</v>
      </c>
    </row>
    <row r="7" spans="1:8">
      <c r="B7" s="24" t="s">
        <v>43</v>
      </c>
    </row>
    <row r="8" spans="1:8">
      <c r="A8" s="27" t="s">
        <v>44</v>
      </c>
    </row>
    <row r="9" spans="1:8">
      <c r="A9" s="27" t="s">
        <v>45</v>
      </c>
    </row>
    <row r="10" spans="1:8">
      <c r="B10" s="24" t="s">
        <v>46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35"/>
  <sheetViews>
    <sheetView tabSelected="1" workbookViewId="0">
      <selection activeCell="F14" sqref="F14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40" ht="15.75">
      <c r="A1" s="1" t="s">
        <v>14</v>
      </c>
      <c r="F1" s="30" t="s">
        <v>65</v>
      </c>
      <c r="G1" s="30" t="s">
        <v>67</v>
      </c>
      <c r="H1" s="30" t="s">
        <v>60</v>
      </c>
      <c r="I1" s="30" t="s">
        <v>66</v>
      </c>
      <c r="M1" s="20"/>
      <c r="N1" s="15" t="s">
        <v>17</v>
      </c>
      <c r="O1" s="15" t="s">
        <v>73</v>
      </c>
      <c r="P1" s="15" t="s">
        <v>27</v>
      </c>
      <c r="R1" s="15" t="str">
        <f>F1</f>
        <v>Tr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1" t="s">
        <v>39</v>
      </c>
    </row>
    <row r="2" spans="1:40">
      <c r="F2" s="28">
        <v>30</v>
      </c>
      <c r="G2" s="29">
        <v>6.0999999999999999E-2</v>
      </c>
      <c r="H2" s="29">
        <v>2.36</v>
      </c>
      <c r="I2" s="29">
        <v>0.28000000000000003</v>
      </c>
      <c r="J2" s="7" t="s">
        <v>11</v>
      </c>
      <c r="K2" s="7" t="s">
        <v>12</v>
      </c>
      <c r="M2" s="15" t="s">
        <v>32</v>
      </c>
      <c r="N2" s="16">
        <f>IF(F14&lt;W17,W17,VLOOKUP(F14,$W$17:$W$25,1,TRUE))</f>
        <v>475</v>
      </c>
      <c r="O2" s="22">
        <f>VLOOKUP(N2,$W$17:$AG$25,11)</f>
        <v>0.70009595168185346</v>
      </c>
      <c r="P2" s="22">
        <f>VLOOKUP(N2,$W$17:$AM$25,17)</f>
        <v>2.8372241337883239</v>
      </c>
      <c r="Q2" s="20"/>
      <c r="R2" s="16">
        <f>F2</f>
        <v>30</v>
      </c>
      <c r="S2" s="22">
        <f>LN(G2)</f>
        <v>-2.7968814148088259</v>
      </c>
      <c r="T2" s="22">
        <f>LN(F2)</f>
        <v>3.4011973816621555</v>
      </c>
      <c r="U2" s="22">
        <f>S3-S2</f>
        <v>0.29584538309094199</v>
      </c>
      <c r="V2" s="22">
        <f t="shared" ref="U2:V4" si="0">T3-T2</f>
        <v>0.5108256237659905</v>
      </c>
      <c r="W2" s="22">
        <f>W3</f>
        <v>0.49515645696750471</v>
      </c>
      <c r="X2" s="22">
        <f>X3</f>
        <v>2.0195636872521412</v>
      </c>
    </row>
    <row r="3" spans="1:40">
      <c r="A3" s="2" t="s">
        <v>19</v>
      </c>
      <c r="F3" s="28">
        <v>50</v>
      </c>
      <c r="G3" s="29">
        <v>8.2000000000000003E-2</v>
      </c>
      <c r="H3" s="29">
        <v>2.3159999999999998</v>
      </c>
      <c r="I3" s="29">
        <v>0.29199999999999998</v>
      </c>
      <c r="J3" s="12">
        <f>SUM(F29:F34)</f>
        <v>5.4683469080384186E-3</v>
      </c>
      <c r="K3" s="13">
        <f>F19/G14</f>
        <v>1.1798382750474201</v>
      </c>
      <c r="Q3" s="20"/>
      <c r="R3" s="16">
        <f>F3</f>
        <v>50</v>
      </c>
      <c r="S3" s="22">
        <f>LN(G3)</f>
        <v>-2.5010360317178839</v>
      </c>
      <c r="T3" s="22">
        <f>LN(F3)</f>
        <v>3.912023005428146</v>
      </c>
      <c r="U3" s="22">
        <f t="shared" si="0"/>
        <v>1.1147416705979933</v>
      </c>
      <c r="V3" s="22">
        <f t="shared" si="0"/>
        <v>2.2512917986064953</v>
      </c>
      <c r="W3" s="22">
        <f>U3/V3</f>
        <v>0.49515645696750471</v>
      </c>
      <c r="X3" s="22">
        <f>1/W3</f>
        <v>2.0195636872521412</v>
      </c>
      <c r="AC3" s="39" t="s">
        <v>55</v>
      </c>
    </row>
    <row r="4" spans="1:40" ht="15.75">
      <c r="A4" s="2" t="s">
        <v>16</v>
      </c>
      <c r="F4" s="28">
        <v>475</v>
      </c>
      <c r="G4" s="29">
        <v>0.25</v>
      </c>
      <c r="H4" s="29">
        <v>2.41</v>
      </c>
      <c r="I4" s="29">
        <v>0.36</v>
      </c>
      <c r="J4" s="4"/>
      <c r="M4" s="20"/>
      <c r="N4" s="15" t="s">
        <v>18</v>
      </c>
      <c r="O4" s="15" t="s">
        <v>17</v>
      </c>
      <c r="P4" s="23" t="s">
        <v>13</v>
      </c>
      <c r="Q4" s="20"/>
      <c r="R4" s="16">
        <f>F4</f>
        <v>475</v>
      </c>
      <c r="S4" s="22">
        <f>LN(G4)</f>
        <v>-1.3862943611198906</v>
      </c>
      <c r="T4" s="22">
        <f>LN(F4)</f>
        <v>6.1633148040346413</v>
      </c>
      <c r="U4" s="22">
        <f t="shared" si="0"/>
        <v>0.30453918951820391</v>
      </c>
      <c r="V4" s="22">
        <f t="shared" si="0"/>
        <v>0.71912266696320604</v>
      </c>
      <c r="W4" s="22">
        <f t="shared" ref="W4:W10" si="1">U4/V4</f>
        <v>0.42348712328071519</v>
      </c>
      <c r="X4" s="22">
        <f t="shared" ref="X4:X10" si="2">1/W4</f>
        <v>2.3613468864250073</v>
      </c>
      <c r="AC4" s="40" t="s">
        <v>56</v>
      </c>
      <c r="AD4" s="15">
        <f>IF(D24="A",1,IF(D24="B",1.4,IF(D24="C",1.7,IF(D24="D",2.4,2))))</f>
        <v>1.7</v>
      </c>
      <c r="AE4" s="15">
        <f>IF(D24="A",0,IF(D24="B",0.4,IF(D24="C",0.6,IF(D24="D",1.5,1.1))))</f>
        <v>0.6</v>
      </c>
      <c r="AF4" s="15">
        <f>IF(D24="A",1,IF(D24="B",1,IF(D24="C",1,IF(D24="D",0.9,1))))</f>
        <v>1</v>
      </c>
      <c r="AG4" s="15">
        <f>IF(D24="A",1,IF(D24="B",1.2,IF(D24="C",1.5,IF(D24="D",1.8,1.6))))</f>
        <v>1.5</v>
      </c>
    </row>
    <row r="5" spans="1:40" ht="15.75">
      <c r="A5" s="2" t="s">
        <v>28</v>
      </c>
      <c r="F5" s="28">
        <v>975</v>
      </c>
      <c r="G5" s="29">
        <v>0.33900000000000002</v>
      </c>
      <c r="H5" s="29">
        <v>2.4449999999999998</v>
      </c>
      <c r="I5" s="29">
        <v>0.38300000000000001</v>
      </c>
      <c r="J5" s="3" t="s">
        <v>10</v>
      </c>
      <c r="K5" s="3" t="s">
        <v>10</v>
      </c>
      <c r="L5" s="3"/>
      <c r="M5" s="15" t="s">
        <v>33</v>
      </c>
      <c r="N5" s="22" t="str">
        <f>T20</f>
        <v/>
      </c>
      <c r="O5" s="16" t="str">
        <f>U20</f>
        <v/>
      </c>
      <c r="P5" s="22" t="str">
        <f>V20</f>
        <v/>
      </c>
      <c r="Q5" s="20"/>
      <c r="R5" s="16">
        <f>F5</f>
        <v>975</v>
      </c>
      <c r="S5" s="22">
        <f>LN(G5)</f>
        <v>-1.0817551716016867</v>
      </c>
      <c r="T5" s="22">
        <f>LN(F5)</f>
        <v>6.8824374709978473</v>
      </c>
      <c r="U5" s="22">
        <f>IF(S6="",U4,S6-S5)</f>
        <v>0.30453918951820391</v>
      </c>
      <c r="V5" s="22">
        <f>IF(T6="",V4,T6-T5)</f>
        <v>0.71912266696320604</v>
      </c>
      <c r="W5" s="22">
        <f t="shared" si="1"/>
        <v>0.42348712328071519</v>
      </c>
      <c r="X5" s="22">
        <f t="shared" si="2"/>
        <v>2.3613468864250073</v>
      </c>
      <c r="AC5" s="40" t="s">
        <v>57</v>
      </c>
      <c r="AD5" s="15">
        <f>IF(D24="A",1,IF(D24="B",1.1,IF(D24="C",1.05,IF(D24="D",1.25,1.15))))</f>
        <v>1.05</v>
      </c>
      <c r="AE5" s="15">
        <f>IF(D24="A",0,IF(D24="B",0.2,IF(D24="C",0.33,IF(D24="D",0.5,0.4))))</f>
        <v>0.33</v>
      </c>
      <c r="AF5" s="15"/>
      <c r="AG5" s="15"/>
    </row>
    <row r="6" spans="1:40">
      <c r="F6" s="9"/>
      <c r="G6" s="29"/>
      <c r="H6" s="29"/>
      <c r="I6" s="29"/>
      <c r="J6" s="3" t="str">
        <f>MID("A+ A B C D E F G",2*J7-1,2)</f>
        <v xml:space="preserve"> A</v>
      </c>
      <c r="K6" s="3" t="str">
        <f>MID("A+ A B C D E F G",2*K7-1,2)</f>
        <v>A+</v>
      </c>
      <c r="M6" s="15" t="s">
        <v>36</v>
      </c>
      <c r="N6" s="22">
        <f>T21</f>
        <v>0.21493623691846517</v>
      </c>
      <c r="O6" s="16">
        <f>U21</f>
        <v>50</v>
      </c>
      <c r="P6" s="22">
        <f>V21</f>
        <v>1.9064591217391651</v>
      </c>
      <c r="Q6" s="20"/>
      <c r="R6" s="16">
        <f>F6</f>
        <v>0</v>
      </c>
      <c r="S6" s="22" t="str">
        <f>IF(G6="","",LN(G6))</f>
        <v/>
      </c>
      <c r="T6" s="22" t="str">
        <f>IF(F6="","",LN(F6))</f>
        <v/>
      </c>
      <c r="U6" s="22">
        <f t="shared" ref="U6:U10" si="3">IF(S7="",U5,S7-S6)</f>
        <v>0.30453918951820391</v>
      </c>
      <c r="V6" s="22">
        <f t="shared" ref="V6:V10" si="4">IF(T7="",V5,T7-T6)</f>
        <v>0.71912266696320604</v>
      </c>
      <c r="W6" s="22">
        <f t="shared" si="1"/>
        <v>0.42348712328071519</v>
      </c>
      <c r="X6" s="22">
        <f t="shared" si="2"/>
        <v>2.3613468864250073</v>
      </c>
      <c r="AC6" s="41" t="s">
        <v>13</v>
      </c>
      <c r="AD6" s="15">
        <f>MAX(SQRT(10/(5+D23*100)),0.55)</f>
        <v>1</v>
      </c>
      <c r="AE6" s="15"/>
      <c r="AF6" s="15"/>
      <c r="AG6" s="15"/>
    </row>
    <row r="7" spans="1:40">
      <c r="A7" s="2" t="s">
        <v>21</v>
      </c>
      <c r="F7" s="9"/>
      <c r="G7" s="29"/>
      <c r="H7" s="29"/>
      <c r="I7" s="29"/>
      <c r="J7" s="6" t="str">
        <f>IF(J3&lt;0.08,MID("1234455667777778888888888",INT(J3*200)+1,1),"8")</f>
        <v>2</v>
      </c>
      <c r="K7" s="6" t="str">
        <f>IF(K3&lt;=1,MID("77766655544433332222",INT(K3*20-0.0000001)+1,1),"1")</f>
        <v>1</v>
      </c>
      <c r="M7" s="15" t="s">
        <v>35</v>
      </c>
      <c r="N7" s="22">
        <f>T22</f>
        <v>0.70009595168185346</v>
      </c>
      <c r="O7" s="16">
        <f>U22</f>
        <v>475</v>
      </c>
      <c r="P7" s="22">
        <f>V22</f>
        <v>2.8372241337883239</v>
      </c>
      <c r="Q7" s="20"/>
      <c r="R7" s="16">
        <f>F7</f>
        <v>0</v>
      </c>
      <c r="S7" s="22" t="str">
        <f>IF(G7="","",LN(G7))</f>
        <v/>
      </c>
      <c r="T7" s="22" t="str">
        <f>IF(F7="","",LN(F7))</f>
        <v/>
      </c>
      <c r="U7" s="22">
        <f t="shared" si="3"/>
        <v>0.30453918951820391</v>
      </c>
      <c r="V7" s="22">
        <f t="shared" si="4"/>
        <v>0.71912266696320604</v>
      </c>
      <c r="W7" s="22">
        <f t="shared" si="1"/>
        <v>0.42348712328071519</v>
      </c>
      <c r="X7" s="22">
        <f t="shared" si="2"/>
        <v>2.3613468864250073</v>
      </c>
    </row>
    <row r="8" spans="1:40">
      <c r="F8" s="9"/>
      <c r="G8" s="29"/>
      <c r="H8" s="29"/>
      <c r="I8" s="29"/>
      <c r="M8" s="15" t="s">
        <v>34</v>
      </c>
      <c r="N8" s="22" t="str">
        <f>T23</f>
        <v/>
      </c>
      <c r="O8" s="16" t="str">
        <f>U23</f>
        <v/>
      </c>
      <c r="P8" s="22" t="str">
        <f>V23</f>
        <v/>
      </c>
      <c r="Q8" s="20"/>
      <c r="R8" s="16">
        <f>F8</f>
        <v>0</v>
      </c>
      <c r="S8" s="22" t="str">
        <f>IF(G8="","",LN(G8))</f>
        <v/>
      </c>
      <c r="T8" s="22" t="str">
        <f>IF(F8="","",LN(F8))</f>
        <v/>
      </c>
      <c r="U8" s="22">
        <f t="shared" si="3"/>
        <v>0.30453918951820391</v>
      </c>
      <c r="V8" s="22">
        <f t="shared" si="4"/>
        <v>0.71912266696320604</v>
      </c>
      <c r="W8" s="22">
        <f t="shared" si="1"/>
        <v>0.42348712328071519</v>
      </c>
      <c r="X8" s="22">
        <f t="shared" si="2"/>
        <v>2.3613468864250073</v>
      </c>
    </row>
    <row r="9" spans="1:40" ht="15">
      <c r="F9" s="9"/>
      <c r="G9" s="29"/>
      <c r="H9" s="29"/>
      <c r="I9" s="29"/>
      <c r="J9" s="44" t="str">
        <f>CONCATENATE("l'edificio è di classe ",MID("A+ A B C D E F G",2*MAX(VALUE(J7),VALUE(K7))-1,2))</f>
        <v>l'edificio è di classe  A</v>
      </c>
      <c r="K9" s="14"/>
      <c r="Q9" s="20"/>
      <c r="R9" s="16">
        <f>F9</f>
        <v>0</v>
      </c>
      <c r="S9" s="22" t="str">
        <f>IF(G9="","",LN(G9))</f>
        <v/>
      </c>
      <c r="T9" s="22" t="str">
        <f>IF(F9="","",LN(F9))</f>
        <v/>
      </c>
      <c r="U9" s="22">
        <f t="shared" si="3"/>
        <v>0.30453918951820391</v>
      </c>
      <c r="V9" s="22">
        <f t="shared" si="4"/>
        <v>0.71912266696320604</v>
      </c>
      <c r="W9" s="22">
        <f t="shared" si="1"/>
        <v>0.42348712328071519</v>
      </c>
      <c r="X9" s="22">
        <f t="shared" si="2"/>
        <v>2.3613468864250073</v>
      </c>
    </row>
    <row r="10" spans="1:40">
      <c r="F10" s="9"/>
      <c r="G10" s="29"/>
      <c r="H10" s="29"/>
      <c r="I10" s="29"/>
      <c r="M10" s="20"/>
      <c r="N10" s="20"/>
      <c r="O10" s="20"/>
      <c r="P10" s="20"/>
      <c r="Q10" s="20"/>
      <c r="R10" s="16">
        <f>F10</f>
        <v>0</v>
      </c>
      <c r="S10" s="22" t="str">
        <f>IF(G10="","",LN(G10))</f>
        <v/>
      </c>
      <c r="T10" s="22" t="str">
        <f>IF(F10="","",LN(F10))</f>
        <v/>
      </c>
      <c r="U10" s="22">
        <f t="shared" si="3"/>
        <v>0.30453918951820391</v>
      </c>
      <c r="V10" s="22">
        <f t="shared" si="4"/>
        <v>0.71912266696320604</v>
      </c>
      <c r="W10" s="22">
        <f t="shared" si="1"/>
        <v>0.42348712328071519</v>
      </c>
      <c r="X10" s="22">
        <f t="shared" si="2"/>
        <v>2.3613468864250073</v>
      </c>
    </row>
    <row r="12" spans="1:40" ht="15">
      <c r="A12" s="1" t="s">
        <v>31</v>
      </c>
      <c r="D12" s="3"/>
    </row>
    <row r="13" spans="1:40" ht="15.75">
      <c r="E13" s="3"/>
      <c r="F13" s="3" t="s">
        <v>17</v>
      </c>
      <c r="G13" s="30" t="s">
        <v>70</v>
      </c>
    </row>
    <row r="14" spans="1:40">
      <c r="A14" s="2" t="s">
        <v>37</v>
      </c>
      <c r="E14" s="3" t="s">
        <v>0</v>
      </c>
      <c r="F14" s="8">
        <v>475</v>
      </c>
      <c r="G14" s="11">
        <f>O2*(F14/N2)^P2</f>
        <v>0.70009595168185346</v>
      </c>
    </row>
    <row r="16" spans="1:40" ht="15.75">
      <c r="A16" s="1" t="s">
        <v>29</v>
      </c>
      <c r="E16" s="3" t="s">
        <v>22</v>
      </c>
      <c r="F16" s="30" t="s">
        <v>70</v>
      </c>
      <c r="G16" s="30" t="s">
        <v>65</v>
      </c>
      <c r="S16" s="20"/>
      <c r="T16" s="15" t="s">
        <v>17</v>
      </c>
      <c r="U16" s="15" t="s">
        <v>18</v>
      </c>
      <c r="V16" s="15" t="s">
        <v>27</v>
      </c>
      <c r="W16" s="3" t="s">
        <v>17</v>
      </c>
      <c r="X16" s="3" t="s">
        <v>20</v>
      </c>
      <c r="Y16" s="3" t="s">
        <v>59</v>
      </c>
      <c r="Z16" s="30" t="s">
        <v>66</v>
      </c>
      <c r="AA16" s="3" t="s">
        <v>58</v>
      </c>
      <c r="AB16" s="33" t="s">
        <v>61</v>
      </c>
      <c r="AC16" s="33" t="s">
        <v>62</v>
      </c>
      <c r="AD16" s="33" t="s">
        <v>63</v>
      </c>
      <c r="AE16" s="33" t="s">
        <v>64</v>
      </c>
      <c r="AF16" s="33" t="s">
        <v>69</v>
      </c>
      <c r="AG16" s="33" t="s">
        <v>68</v>
      </c>
      <c r="AH16" s="49" t="s">
        <v>23</v>
      </c>
      <c r="AI16" s="49" t="s">
        <v>24</v>
      </c>
      <c r="AJ16" s="49" t="s">
        <v>25</v>
      </c>
      <c r="AK16" s="49" t="s">
        <v>26</v>
      </c>
      <c r="AL16" s="49" t="s">
        <v>27</v>
      </c>
      <c r="AM16" s="49" t="s">
        <v>71</v>
      </c>
      <c r="AN16" s="3" t="s">
        <v>17</v>
      </c>
    </row>
    <row r="17" spans="1:40">
      <c r="E17" s="3" t="s">
        <v>5</v>
      </c>
      <c r="F17" s="10"/>
      <c r="G17" s="5">
        <f>IF(F17="",G18*30/50,O5*(F17/N5)^P5)</f>
        <v>155.03399282270058</v>
      </c>
      <c r="S17" s="15" t="s">
        <v>32</v>
      </c>
      <c r="T17" s="16">
        <f>IF(F14&lt;F2,F2,VLOOKUP(F14,$F$2:$F$10,1,TRUE))</f>
        <v>475</v>
      </c>
      <c r="U17" s="22">
        <f>VLOOKUP(T17,$F$2:$X$10,2)</f>
        <v>0.25</v>
      </c>
      <c r="V17" s="22">
        <f>VLOOKUP(T17,$F$2:$X$10,18)</f>
        <v>0.42348712328071519</v>
      </c>
      <c r="W17" s="3">
        <f>F2</f>
        <v>30</v>
      </c>
      <c r="X17" s="42">
        <f>G2</f>
        <v>6.0999999999999999E-2</v>
      </c>
      <c r="Y17" s="42">
        <f>H2</f>
        <v>2.36</v>
      </c>
      <c r="Z17" s="42">
        <f>I2</f>
        <v>0.28000000000000003</v>
      </c>
      <c r="AA17" s="45">
        <f>MAX($AF$4,MIN($AG$4,$AD$4-$AE$4*Y17*X17))*IF($D$22="T1",1,IF($D$22="T4",1+0.4*$F$22,1+0.2*$F$22))</f>
        <v>1.5</v>
      </c>
      <c r="AB17" s="45">
        <f>AA17*X17</f>
        <v>9.1499999999999998E-2</v>
      </c>
      <c r="AC17" s="45">
        <f>AD17/3</f>
        <v>0.14916396716852898</v>
      </c>
      <c r="AD17" s="46">
        <f>$AD$5*Z17^(-$AE$5)*Z17</f>
        <v>0.44749190150558693</v>
      </c>
      <c r="AE17" s="45">
        <f>4*X17+1.6</f>
        <v>1.8440000000000001</v>
      </c>
      <c r="AF17" s="45">
        <f>AB17*Y17*$AD$6</f>
        <v>0.21593999999999999</v>
      </c>
      <c r="AG17" s="45">
        <f>IF($D$26="","",IF($D$26&lt;AC17,AF17*($D$26/AC17+(1-$D$26/AC17)/Y17/$AD$6),IF($D$26&lt;=AD17,AF17,IF($D$26&lt;AE17,AF17*AD17/$D$26,AF17*AD17*AE17/$D$26^2))))</f>
        <v>0.15841213313297778</v>
      </c>
      <c r="AH17" s="50">
        <f>LN(AG17)</f>
        <v>-1.8425552044735649</v>
      </c>
      <c r="AI17" s="50">
        <f>LN(W17)</f>
        <v>3.4011973816621555</v>
      </c>
      <c r="AJ17" s="50">
        <f>IF(OR(AH18="",AH18=AH17),AJ16,AH18-AH17)</f>
        <v>0.30514133716052294</v>
      </c>
      <c r="AK17" s="50">
        <f>IF(OR(AI18="",AI18=AI17),AK16,AI18-AI17)</f>
        <v>0.5108256237659905</v>
      </c>
      <c r="AL17" s="50">
        <f>AL18</f>
        <v>0.52453262102349785</v>
      </c>
      <c r="AM17" s="50">
        <f>AM18</f>
        <v>1.9064591217391651</v>
      </c>
      <c r="AN17" s="3">
        <f>W17</f>
        <v>30</v>
      </c>
    </row>
    <row r="18" spans="1:40">
      <c r="A18" s="2" t="s">
        <v>72</v>
      </c>
      <c r="E18" s="3" t="s">
        <v>1</v>
      </c>
      <c r="F18" s="10">
        <v>0.50870000000000004</v>
      </c>
      <c r="G18" s="5">
        <f>O6*(F18/N6)^P6</f>
        <v>258.38998803783431</v>
      </c>
      <c r="S18" s="20"/>
      <c r="T18" s="16"/>
      <c r="U18" s="22"/>
      <c r="V18" s="22"/>
      <c r="W18" s="47">
        <f>IF(F3="",W17,F3)</f>
        <v>50</v>
      </c>
      <c r="X18" s="42">
        <f>IF(G3="",X17,G3)</f>
        <v>8.2000000000000003E-2</v>
      </c>
      <c r="Y18" s="42">
        <f>IF(H3="",Y17,H3)</f>
        <v>2.3159999999999998</v>
      </c>
      <c r="Z18" s="42">
        <f>IF(I3="",Z17,I3)</f>
        <v>0.29199999999999998</v>
      </c>
      <c r="AA18" s="45">
        <f>MAX($AF$4,MIN($AG$4,$AD$4-$AE$4*Y18*X18))*IF($D$22="T1",1,IF($D$22="T4",1+0.4*$F$22,1+0.2*$F$22))</f>
        <v>1.5</v>
      </c>
      <c r="AB18" s="45">
        <f>AA18*X18</f>
        <v>0.123</v>
      </c>
      <c r="AC18" s="45">
        <f t="shared" ref="AC18:AC25" si="5">AD18/3</f>
        <v>0.15341737754593213</v>
      </c>
      <c r="AD18" s="46">
        <f t="shared" ref="AD18:AD25" si="6">$AD$5*Z18^(-$AE$5)*Z18</f>
        <v>0.46025213263779635</v>
      </c>
      <c r="AE18" s="45">
        <f>4*X18+1.6</f>
        <v>1.9280000000000002</v>
      </c>
      <c r="AF18" s="45">
        <f t="shared" ref="AF18:AF25" si="7">AB18*Y18*$AD$6</f>
        <v>0.28486799999999995</v>
      </c>
      <c r="AG18" s="45">
        <f>IF($D$26="","",IF($D$26&lt;AC18,AF18*($D$26/AC18+(1-$D$26/AC18)/Y18/$AD$6),IF($D$26&lt;=AD18,AF18,IF($D$26&lt;AE18,AF18*AD18/$D$26,AF18*AD18*AE18/$D$26^2))))</f>
        <v>0.21493623691846517</v>
      </c>
      <c r="AH18" s="50">
        <f t="shared" ref="AH18:AH25" si="8">LN(AG18)</f>
        <v>-1.537413867313042</v>
      </c>
      <c r="AI18" s="50">
        <f t="shared" ref="AI18:AI25" si="9">LN(W18)</f>
        <v>3.912023005428146</v>
      </c>
      <c r="AJ18" s="50">
        <f t="shared" ref="AJ18:AJ24" si="10">IF(OR(AH19="",AH19=AH18),AJ17,AH19-AH18)</f>
        <v>1.1808759878117696</v>
      </c>
      <c r="AK18" s="50">
        <f t="shared" ref="AK18:AK24" si="11">IF(OR(AI19="",AI19=AI18),AK17,AI19-AI18)</f>
        <v>2.2512917986064953</v>
      </c>
      <c r="AL18" s="50">
        <f>AJ18/AK18</f>
        <v>0.52453262102349785</v>
      </c>
      <c r="AM18" s="50">
        <f>1/AL18</f>
        <v>1.9064591217391651</v>
      </c>
      <c r="AN18" s="3">
        <f t="shared" ref="AN18:AN25" si="12">W18</f>
        <v>50</v>
      </c>
    </row>
    <row r="19" spans="1:40">
      <c r="A19" s="2" t="s">
        <v>38</v>
      </c>
      <c r="E19" s="3" t="s">
        <v>0</v>
      </c>
      <c r="F19" s="10">
        <v>0.82599999999999996</v>
      </c>
      <c r="G19" s="5">
        <f>O7*(F19/N7)^P7</f>
        <v>759.39911381571585</v>
      </c>
      <c r="S19" s="20"/>
      <c r="T19" s="15" t="s">
        <v>18</v>
      </c>
      <c r="U19" s="15" t="s">
        <v>17</v>
      </c>
      <c r="V19" s="23" t="s">
        <v>13</v>
      </c>
      <c r="W19" s="47">
        <f>IF(F4="",W18,F4)</f>
        <v>475</v>
      </c>
      <c r="X19" s="42">
        <f>IF(G4="",X18,G4)</f>
        <v>0.25</v>
      </c>
      <c r="Y19" s="42">
        <f>IF(H4="",Y18,H4)</f>
        <v>2.41</v>
      </c>
      <c r="Z19" s="42">
        <f>IF(I4="",Z18,I4)</f>
        <v>0.36</v>
      </c>
      <c r="AA19" s="45">
        <f>MAX($AF$4,MIN($AG$4,$AD$4-$AE$4*Y19*X19))*IF($D$22="T1",1,IF($D$22="T4",1+0.4*$F$22,1+0.2*$F$22))</f>
        <v>1.3385</v>
      </c>
      <c r="AB19" s="45">
        <f>AA19*X19</f>
        <v>0.33462500000000001</v>
      </c>
      <c r="AC19" s="45">
        <f t="shared" si="5"/>
        <v>0.17651869980007165</v>
      </c>
      <c r="AD19" s="46">
        <f t="shared" si="6"/>
        <v>0.52955609940021497</v>
      </c>
      <c r="AE19" s="45">
        <f>4*X19+1.6</f>
        <v>2.6</v>
      </c>
      <c r="AF19" s="45">
        <f t="shared" si="7"/>
        <v>0.80644625000000003</v>
      </c>
      <c r="AG19" s="45">
        <f>IF($D$26="","",IF($D$26&lt;AC19,AF19*($D$26/AC19+(1-$D$26/AC19)/Y19/$AD$6),IF($D$26&lt;=AD19,AF19,IF($D$26&lt;AE19,AF19*AD19/$D$26,AF19*AD19*AE19/$D$26^2))))</f>
        <v>0.70009595168185346</v>
      </c>
      <c r="AH19" s="50">
        <f t="shared" si="8"/>
        <v>-0.35653787950127236</v>
      </c>
      <c r="AI19" s="50">
        <f t="shared" si="9"/>
        <v>6.1633148040346413</v>
      </c>
      <c r="AJ19" s="50">
        <f t="shared" si="10"/>
        <v>0.2534599429065964</v>
      </c>
      <c r="AK19" s="50">
        <f t="shared" si="11"/>
        <v>0.71912266696320604</v>
      </c>
      <c r="AL19" s="50">
        <f t="shared" ref="AL19:AL25" si="13">AJ19/AK19</f>
        <v>0.35245717392963877</v>
      </c>
      <c r="AM19" s="50">
        <f t="shared" ref="AM19:AM25" si="14">1/AL19</f>
        <v>2.8372241337883239</v>
      </c>
      <c r="AN19" s="3">
        <f t="shared" si="12"/>
        <v>475</v>
      </c>
    </row>
    <row r="20" spans="1:40">
      <c r="A20" s="2" t="s">
        <v>30</v>
      </c>
      <c r="E20" s="3" t="s">
        <v>4</v>
      </c>
      <c r="F20" s="10"/>
      <c r="G20" s="5">
        <f>IF(F20="",G19*975/475,O8*(F20/N8)^P8)</f>
        <v>1558.7666020427853</v>
      </c>
      <c r="S20" s="15" t="s">
        <v>33</v>
      </c>
      <c r="T20" s="22" t="str">
        <f>IF(F17="","",IF(F17&lt;$AG$17,$AG$17,VLOOKUP(F17,$AG$17:$AG$25,1,TRUE)))</f>
        <v/>
      </c>
      <c r="U20" s="16" t="str">
        <f>IF(T20="","",VLOOKUP(T20,$AG$17:$AN$25,8))</f>
        <v/>
      </c>
      <c r="V20" s="22" t="str">
        <f>IF(T20="","",VLOOKUP(T20,$AG$17:$AN$25,7))</f>
        <v/>
      </c>
      <c r="W20" s="47">
        <f>IF(F5="",W19,F5)</f>
        <v>975</v>
      </c>
      <c r="X20" s="42">
        <f>IF(G5="",X19,G5)</f>
        <v>0.33900000000000002</v>
      </c>
      <c r="Y20" s="42">
        <f>IF(H5="",Y19,H5)</f>
        <v>2.4449999999999998</v>
      </c>
      <c r="Z20" s="42">
        <f>IF(I5="",Z19,I5)</f>
        <v>0.38300000000000001</v>
      </c>
      <c r="AA20" s="45">
        <f>MAX($AF$4,MIN($AG$4,$AD$4-$AE$4*Y20*X20))*IF($D$22="T1",1,IF($D$22="T4",1+0.4*$F$22,1+0.2*$F$22))</f>
        <v>1.2026870000000001</v>
      </c>
      <c r="AB20" s="45">
        <f>AA20*X20</f>
        <v>0.40771089300000007</v>
      </c>
      <c r="AC20" s="45">
        <f t="shared" si="5"/>
        <v>0.18399720371942338</v>
      </c>
      <c r="AD20" s="46">
        <f t="shared" si="6"/>
        <v>0.55199161115827011</v>
      </c>
      <c r="AE20" s="45">
        <f>4*X20+1.6</f>
        <v>2.9560000000000004</v>
      </c>
      <c r="AF20" s="45">
        <f t="shared" si="7"/>
        <v>0.99685313338500015</v>
      </c>
      <c r="AG20" s="45">
        <f>IF($D$26="","",IF($D$26&lt;AC20,AF20*($D$26/AC20+(1-$D$26/AC20)/Y20/$AD$6),IF($D$26&lt;=AD20,AF20,IF($D$26&lt;AE20,AF20*AD20/$D$26,AF20*AD20*AE20/$D$26^2))))</f>
        <v>0.90205666751697733</v>
      </c>
      <c r="AH20" s="50">
        <f t="shared" si="8"/>
        <v>-0.10307793659467594</v>
      </c>
      <c r="AI20" s="50">
        <f t="shared" si="9"/>
        <v>6.8824374709978473</v>
      </c>
      <c r="AJ20" s="50">
        <f t="shared" si="10"/>
        <v>0.2534599429065964</v>
      </c>
      <c r="AK20" s="50">
        <f t="shared" si="11"/>
        <v>0.71912266696320604</v>
      </c>
      <c r="AL20" s="50">
        <f t="shared" si="13"/>
        <v>0.35245717392963877</v>
      </c>
      <c r="AM20" s="50">
        <f t="shared" si="14"/>
        <v>2.8372241337883239</v>
      </c>
      <c r="AN20" s="3">
        <f t="shared" si="12"/>
        <v>975</v>
      </c>
    </row>
    <row r="21" spans="1:40">
      <c r="S21" s="15" t="s">
        <v>36</v>
      </c>
      <c r="T21" s="22">
        <f t="shared" ref="T21:T23" si="15">IF(F18="","",IF(F18&lt;$AG$17,$AG$17,VLOOKUP(F18,$AG$17:$AG$25,1,TRUE)))</f>
        <v>0.21493623691846517</v>
      </c>
      <c r="U21" s="16">
        <f>IF(T21="","",VLOOKUP(T21,$AG$17:$AN$25,8))</f>
        <v>50</v>
      </c>
      <c r="V21" s="22">
        <f t="shared" ref="V21:V23" si="16">IF(T21="","",VLOOKUP(T21,$AG$17:$AN$25,7))</f>
        <v>1.9064591217391651</v>
      </c>
      <c r="W21" s="47">
        <f>IF(F6="",W20,F6)</f>
        <v>975</v>
      </c>
      <c r="X21" s="42">
        <f>IF(G6="",X20,G6)</f>
        <v>0.33900000000000002</v>
      </c>
      <c r="Y21" s="42">
        <f>IF(H6="",Y20,H6)</f>
        <v>2.4449999999999998</v>
      </c>
      <c r="Z21" s="42">
        <f>IF(I6="",Z20,I6)</f>
        <v>0.38300000000000001</v>
      </c>
      <c r="AA21" s="45">
        <f>MAX($AF$4,MIN($AG$4,$AD$4-$AE$4*Y21*X21))*IF($D$22="T1",1,IF($D$22="T4",1+0.4*$F$22,1+0.2*$F$22))</f>
        <v>1.2026870000000001</v>
      </c>
      <c r="AB21" s="45">
        <f>AA21*X21</f>
        <v>0.40771089300000007</v>
      </c>
      <c r="AC21" s="45">
        <f t="shared" si="5"/>
        <v>0.18399720371942338</v>
      </c>
      <c r="AD21" s="46">
        <f t="shared" si="6"/>
        <v>0.55199161115827011</v>
      </c>
      <c r="AE21" s="45">
        <f>4*X21+1.6</f>
        <v>2.9560000000000004</v>
      </c>
      <c r="AF21" s="45">
        <f t="shared" si="7"/>
        <v>0.99685313338500015</v>
      </c>
      <c r="AG21" s="45">
        <f>IF($D$26="","",IF($D$26&lt;AC21,AF21*($D$26/AC21+(1-$D$26/AC21)/Y21/$AD$6),IF($D$26&lt;=AD21,AF21,IF($D$26&lt;AE21,AF21*AD21/$D$26,AF21*AD21*AE21/$D$26^2))))</f>
        <v>0.90205666751697733</v>
      </c>
      <c r="AH21" s="50">
        <f t="shared" si="8"/>
        <v>-0.10307793659467594</v>
      </c>
      <c r="AI21" s="50">
        <f t="shared" si="9"/>
        <v>6.8824374709978473</v>
      </c>
      <c r="AJ21" s="50">
        <f t="shared" si="10"/>
        <v>0.2534599429065964</v>
      </c>
      <c r="AK21" s="50">
        <f t="shared" si="11"/>
        <v>0.71912266696320604</v>
      </c>
      <c r="AL21" s="50">
        <f t="shared" si="13"/>
        <v>0.35245717392963877</v>
      </c>
      <c r="AM21" s="50">
        <f t="shared" si="14"/>
        <v>2.8372241337883239</v>
      </c>
      <c r="AN21" s="3">
        <f t="shared" si="12"/>
        <v>975</v>
      </c>
    </row>
    <row r="22" spans="1:40">
      <c r="C22" s="37" t="s">
        <v>48</v>
      </c>
      <c r="D22" s="31" t="s">
        <v>49</v>
      </c>
      <c r="E22" s="30" t="s">
        <v>50</v>
      </c>
      <c r="F22" s="32">
        <v>0</v>
      </c>
      <c r="S22" s="15" t="s">
        <v>35</v>
      </c>
      <c r="T22" s="22">
        <f t="shared" si="15"/>
        <v>0.70009595168185346</v>
      </c>
      <c r="U22" s="16">
        <f t="shared" ref="U20:U23" si="17">IF(T22="","",VLOOKUP(T22,$AG$17:$AN$25,8))</f>
        <v>475</v>
      </c>
      <c r="V22" s="22">
        <f t="shared" si="16"/>
        <v>2.8372241337883239</v>
      </c>
      <c r="W22" s="47">
        <f>IF(F7="",W21,F7)</f>
        <v>975</v>
      </c>
      <c r="X22" s="42">
        <f>IF(G7="",X21,G7)</f>
        <v>0.33900000000000002</v>
      </c>
      <c r="Y22" s="42">
        <f>IF(H7="",Y21,H7)</f>
        <v>2.4449999999999998</v>
      </c>
      <c r="Z22" s="42">
        <f>IF(I7="",Z21,I7)</f>
        <v>0.38300000000000001</v>
      </c>
      <c r="AA22" s="45">
        <f>MAX($AF$4,MIN($AG$4,$AD$4-$AE$4*Y22*X22))*IF($D$22="T1",1,IF($D$22="T4",1+0.4*$F$22,1+0.2*$F$22))</f>
        <v>1.2026870000000001</v>
      </c>
      <c r="AB22" s="45">
        <f>AA22*X22</f>
        <v>0.40771089300000007</v>
      </c>
      <c r="AC22" s="45">
        <f t="shared" si="5"/>
        <v>0.18399720371942338</v>
      </c>
      <c r="AD22" s="46">
        <f t="shared" si="6"/>
        <v>0.55199161115827011</v>
      </c>
      <c r="AE22" s="45">
        <f>4*X22+1.6</f>
        <v>2.9560000000000004</v>
      </c>
      <c r="AF22" s="45">
        <f t="shared" si="7"/>
        <v>0.99685313338500015</v>
      </c>
      <c r="AG22" s="45">
        <f>IF($D$26="","",IF($D$26&lt;AC22,AF22*($D$26/AC22+(1-$D$26/AC22)/Y22/$AD$6),IF($D$26&lt;=AD22,AF22,IF($D$26&lt;AE22,AF22*AD22/$D$26,AF22*AD22*AE22/$D$26^2))))</f>
        <v>0.90205666751697733</v>
      </c>
      <c r="AH22" s="50">
        <f t="shared" si="8"/>
        <v>-0.10307793659467594</v>
      </c>
      <c r="AI22" s="50">
        <f t="shared" si="9"/>
        <v>6.8824374709978473</v>
      </c>
      <c r="AJ22" s="50">
        <f t="shared" si="10"/>
        <v>0.2534599429065964</v>
      </c>
      <c r="AK22" s="50">
        <f t="shared" si="11"/>
        <v>0.71912266696320604</v>
      </c>
      <c r="AL22" s="50">
        <f t="shared" si="13"/>
        <v>0.35245717392963877</v>
      </c>
      <c r="AM22" s="50">
        <f t="shared" si="14"/>
        <v>2.8372241337883239</v>
      </c>
      <c r="AN22" s="3">
        <f t="shared" si="12"/>
        <v>975</v>
      </c>
    </row>
    <row r="23" spans="1:40">
      <c r="C23" s="38" t="s">
        <v>51</v>
      </c>
      <c r="D23" s="32">
        <v>0.05</v>
      </c>
      <c r="E23" s="34"/>
      <c r="F23" s="34"/>
      <c r="G23" s="35" t="str">
        <f>IF(OR(F22&lt;0,F22&gt;1),"errore","")</f>
        <v/>
      </c>
      <c r="S23" s="15" t="s">
        <v>34</v>
      </c>
      <c r="T23" s="22" t="str">
        <f t="shared" si="15"/>
        <v/>
      </c>
      <c r="U23" s="16" t="str">
        <f t="shared" si="17"/>
        <v/>
      </c>
      <c r="V23" s="22" t="str">
        <f t="shared" si="16"/>
        <v/>
      </c>
      <c r="W23" s="47">
        <f>IF(F8="",W22,F8)</f>
        <v>975</v>
      </c>
      <c r="X23" s="42">
        <f>IF(G8="",X22,G8)</f>
        <v>0.33900000000000002</v>
      </c>
      <c r="Y23" s="42">
        <f>IF(H8="",Y22,H8)</f>
        <v>2.4449999999999998</v>
      </c>
      <c r="Z23" s="42">
        <f>IF(I8="",Z22,I8)</f>
        <v>0.38300000000000001</v>
      </c>
      <c r="AA23" s="45">
        <f>MAX($AF$4,MIN($AG$4,$AD$4-$AE$4*Y23*X23))*IF($D$22="T1",1,IF($D$22="T4",1+0.4*$F$22,1+0.2*$F$22))</f>
        <v>1.2026870000000001</v>
      </c>
      <c r="AB23" s="45">
        <f>AA23*X23</f>
        <v>0.40771089300000007</v>
      </c>
      <c r="AC23" s="45">
        <f t="shared" si="5"/>
        <v>0.18399720371942338</v>
      </c>
      <c r="AD23" s="46">
        <f t="shared" si="6"/>
        <v>0.55199161115827011</v>
      </c>
      <c r="AE23" s="45">
        <f>4*X23+1.6</f>
        <v>2.9560000000000004</v>
      </c>
      <c r="AF23" s="45">
        <f t="shared" si="7"/>
        <v>0.99685313338500015</v>
      </c>
      <c r="AG23" s="45">
        <f>IF($D$26="","",IF($D$26&lt;AC23,AF23*($D$26/AC23+(1-$D$26/AC23)/Y23/$AD$6),IF($D$26&lt;=AD23,AF23,IF($D$26&lt;AE23,AF23*AD23/$D$26,AF23*AD23*AE23/$D$26^2))))</f>
        <v>0.90205666751697733</v>
      </c>
      <c r="AH23" s="50">
        <f t="shared" si="8"/>
        <v>-0.10307793659467594</v>
      </c>
      <c r="AI23" s="50">
        <f t="shared" si="9"/>
        <v>6.8824374709978473</v>
      </c>
      <c r="AJ23" s="50">
        <f t="shared" si="10"/>
        <v>0.2534599429065964</v>
      </c>
      <c r="AK23" s="50">
        <f t="shared" si="11"/>
        <v>0.71912266696320604</v>
      </c>
      <c r="AL23" s="50">
        <f t="shared" si="13"/>
        <v>0.35245717392963877</v>
      </c>
      <c r="AM23" s="50">
        <f t="shared" si="14"/>
        <v>2.8372241337883239</v>
      </c>
      <c r="AN23" s="3">
        <f t="shared" si="12"/>
        <v>975</v>
      </c>
    </row>
    <row r="24" spans="1:40">
      <c r="C24" s="33" t="s">
        <v>52</v>
      </c>
      <c r="D24" s="36" t="s">
        <v>53</v>
      </c>
      <c r="E24" s="34"/>
      <c r="F24" s="34"/>
      <c r="G24" s="34"/>
      <c r="W24" s="47">
        <f>IF(F9="",W23,F9)</f>
        <v>975</v>
      </c>
      <c r="X24" s="42">
        <f>IF(G9="",X23,G9)</f>
        <v>0.33900000000000002</v>
      </c>
      <c r="Y24" s="42">
        <f>IF(H9="",Y23,H9)</f>
        <v>2.4449999999999998</v>
      </c>
      <c r="Z24" s="42">
        <f>IF(I9="",Z23,I9)</f>
        <v>0.38300000000000001</v>
      </c>
      <c r="AA24" s="45">
        <f>MAX($AF$4,MIN($AG$4,$AD$4-$AE$4*Y24*X24))*IF($D$22="T1",1,IF($D$22="T4",1+0.4*$F$22,1+0.2*$F$22))</f>
        <v>1.2026870000000001</v>
      </c>
      <c r="AB24" s="45">
        <f>AA24*X24</f>
        <v>0.40771089300000007</v>
      </c>
      <c r="AC24" s="45">
        <f t="shared" si="5"/>
        <v>0.18399720371942338</v>
      </c>
      <c r="AD24" s="46">
        <f t="shared" si="6"/>
        <v>0.55199161115827011</v>
      </c>
      <c r="AE24" s="45">
        <f>4*X24+1.6</f>
        <v>2.9560000000000004</v>
      </c>
      <c r="AF24" s="45">
        <f t="shared" si="7"/>
        <v>0.99685313338500015</v>
      </c>
      <c r="AG24" s="45">
        <f>IF($D$26="","",IF($D$26&lt;AC24,AF24*($D$26/AC24+(1-$D$26/AC24)/Y24/$AD$6),IF($D$26&lt;=AD24,AF24,IF($D$26&lt;AE24,AF24*AD24/$D$26,AF24*AD24*AE24/$D$26^2))))</f>
        <v>0.90205666751697733</v>
      </c>
      <c r="AH24" s="50">
        <f t="shared" si="8"/>
        <v>-0.10307793659467594</v>
      </c>
      <c r="AI24" s="50">
        <f t="shared" si="9"/>
        <v>6.8824374709978473</v>
      </c>
      <c r="AJ24" s="50">
        <f t="shared" si="10"/>
        <v>0.2534599429065964</v>
      </c>
      <c r="AK24" s="50">
        <f t="shared" si="11"/>
        <v>0.71912266696320604</v>
      </c>
      <c r="AL24" s="50">
        <f t="shared" si="13"/>
        <v>0.35245717392963877</v>
      </c>
      <c r="AM24" s="50">
        <f t="shared" si="14"/>
        <v>2.8372241337883239</v>
      </c>
      <c r="AN24" s="3">
        <f t="shared" si="12"/>
        <v>975</v>
      </c>
    </row>
    <row r="25" spans="1:40">
      <c r="W25" s="47">
        <f>IF(F10="",W24,F10)</f>
        <v>975</v>
      </c>
      <c r="X25" s="42">
        <f>IF(G10="",X24,G10)</f>
        <v>0.33900000000000002</v>
      </c>
      <c r="Y25" s="42">
        <f>IF(H10="",Y24,H10)</f>
        <v>2.4449999999999998</v>
      </c>
      <c r="Z25" s="42">
        <f>IF(I10="",Z24,I10)</f>
        <v>0.38300000000000001</v>
      </c>
      <c r="AA25" s="45">
        <f>MAX($AF$4,MIN($AG$4,$AD$4-$AE$4*Y25*X25))*IF($D$22="T1",1,IF($D$22="T4",1+0.4*$F$22,1+0.2*$F$22))</f>
        <v>1.2026870000000001</v>
      </c>
      <c r="AB25" s="45">
        <f>AA25*X25</f>
        <v>0.40771089300000007</v>
      </c>
      <c r="AC25" s="45">
        <f t="shared" si="5"/>
        <v>0.18399720371942338</v>
      </c>
      <c r="AD25" s="46">
        <f t="shared" si="6"/>
        <v>0.55199161115827011</v>
      </c>
      <c r="AE25" s="45">
        <f>4*X25+1.6</f>
        <v>2.9560000000000004</v>
      </c>
      <c r="AF25" s="45">
        <f t="shared" si="7"/>
        <v>0.99685313338500015</v>
      </c>
      <c r="AG25" s="45">
        <f>IF($D$26="","",IF($D$26&lt;AC25,AF25*($D$26/AC25+(1-$D$26/AC25)/Y25/$AD$6),IF($D$26&lt;=AD25,AF25,IF($D$26&lt;AE25,AF25*AD25/$D$26,AF25*AD25*AE25/$D$26^2))))</f>
        <v>0.90205666751697733</v>
      </c>
      <c r="AH25" s="50">
        <f t="shared" si="8"/>
        <v>-0.10307793659467594</v>
      </c>
      <c r="AI25" s="50">
        <f t="shared" si="9"/>
        <v>6.8824374709978473</v>
      </c>
      <c r="AJ25" s="50">
        <f>IF(OR(AD26="",AD26=AH25),AJ24,AD26-AH25)</f>
        <v>0.2534599429065964</v>
      </c>
      <c r="AK25" s="50">
        <f>IF(OR(AE26="",AE26=AI25),AK24,AE26-AI25)</f>
        <v>0.71912266696320604</v>
      </c>
      <c r="AL25" s="50">
        <f t="shared" si="13"/>
        <v>0.35245717392963877</v>
      </c>
      <c r="AM25" s="50">
        <f t="shared" si="14"/>
        <v>2.8372241337883239</v>
      </c>
      <c r="AN25" s="3">
        <f t="shared" si="12"/>
        <v>975</v>
      </c>
    </row>
    <row r="26" spans="1:40">
      <c r="C26" s="38" t="s">
        <v>54</v>
      </c>
      <c r="D26" s="31">
        <v>0.61</v>
      </c>
    </row>
    <row r="27" spans="1:40">
      <c r="D27" s="48"/>
    </row>
    <row r="28" spans="1:40">
      <c r="A28" s="15"/>
      <c r="B28" s="15" t="s">
        <v>2</v>
      </c>
      <c r="C28" s="15" t="s">
        <v>3</v>
      </c>
      <c r="D28" s="15" t="s">
        <v>15</v>
      </c>
      <c r="E28" s="15" t="s">
        <v>8</v>
      </c>
      <c r="F28" s="15" t="s">
        <v>9</v>
      </c>
    </row>
    <row r="29" spans="1:40">
      <c r="A29" s="15" t="s">
        <v>6</v>
      </c>
      <c r="B29" s="15"/>
      <c r="C29" s="16">
        <v>10</v>
      </c>
      <c r="D29" s="17">
        <v>0.1</v>
      </c>
      <c r="E29" s="18">
        <v>0</v>
      </c>
      <c r="F29" s="17">
        <f>(D29-D30)*(E29+E30)/2</f>
        <v>3.2742430588108087E-3</v>
      </c>
      <c r="W29" s="43"/>
    </row>
    <row r="30" spans="1:40">
      <c r="A30" s="15" t="s">
        <v>5</v>
      </c>
      <c r="B30" s="19" t="str">
        <f>IF(F17="","",F17)</f>
        <v/>
      </c>
      <c r="C30" s="16">
        <f>MAX(C29,MIN(G17,C31))</f>
        <v>155.03399282270058</v>
      </c>
      <c r="D30" s="17">
        <f>MAX(1/C30,D32)</f>
        <v>6.4501983196911944E-3</v>
      </c>
      <c r="E30" s="18">
        <v>7.0000000000000007E-2</v>
      </c>
      <c r="F30" s="17">
        <f>(D30-D31)*(E30+E31)/2</f>
        <v>2.8380872606641259E-4</v>
      </c>
    </row>
    <row r="31" spans="1:40">
      <c r="A31" s="15" t="s">
        <v>1</v>
      </c>
      <c r="B31" s="19">
        <f>F18</f>
        <v>0.50870000000000004</v>
      </c>
      <c r="C31" s="16">
        <f>MAX(C29,MIN(G18,C32))</f>
        <v>258.38998803783431</v>
      </c>
      <c r="D31" s="17">
        <f>MAX(1/C31,D32)</f>
        <v>3.8701189918147164E-3</v>
      </c>
      <c r="E31" s="18">
        <v>0.15</v>
      </c>
      <c r="F31" s="17">
        <f>(D31-D32)*(E31+E32)/2</f>
        <v>8.2981872335342139E-4</v>
      </c>
    </row>
    <row r="32" spans="1:40">
      <c r="A32" s="15" t="s">
        <v>0</v>
      </c>
      <c r="B32" s="19">
        <f>F19</f>
        <v>0.82599999999999996</v>
      </c>
      <c r="C32" s="16">
        <f>MAX(C29,MIN(G19,G20))</f>
        <v>759.39911381571585</v>
      </c>
      <c r="D32" s="17">
        <f>1/C32</f>
        <v>1.3168306122657274E-3</v>
      </c>
      <c r="E32" s="18">
        <v>0.5</v>
      </c>
      <c r="F32" s="17">
        <f>(D32-D33)*(E32+E33)/2</f>
        <v>4.3894353742190913E-4</v>
      </c>
    </row>
    <row r="33" spans="1:6">
      <c r="A33" s="15" t="s">
        <v>4</v>
      </c>
      <c r="B33" s="19" t="str">
        <f>IF(F20="","",F20)</f>
        <v/>
      </c>
      <c r="C33" s="16">
        <f>G20</f>
        <v>1558.7666020427853</v>
      </c>
      <c r="D33" s="17">
        <f>1/C33</f>
        <v>6.4153286238586725E-4</v>
      </c>
      <c r="E33" s="18">
        <v>0.8</v>
      </c>
      <c r="F33" s="17">
        <f t="shared" ref="F33:F34" si="18">(D33-D34)*(E33+E34)/2</f>
        <v>0</v>
      </c>
    </row>
    <row r="34" spans="1:6">
      <c r="A34" s="15" t="s">
        <v>7</v>
      </c>
      <c r="B34" s="20"/>
      <c r="C34" s="16">
        <f>C33</f>
        <v>1558.7666020427853</v>
      </c>
      <c r="D34" s="17">
        <f>D33</f>
        <v>6.4153286238586725E-4</v>
      </c>
      <c r="E34" s="18">
        <v>1</v>
      </c>
      <c r="F34" s="17">
        <f t="shared" si="18"/>
        <v>6.4153286238586725E-4</v>
      </c>
    </row>
    <row r="35" spans="1:6">
      <c r="A35" s="20"/>
      <c r="B35" s="20"/>
      <c r="C35" s="20"/>
      <c r="D35" s="17">
        <v>0</v>
      </c>
      <c r="E35" s="18">
        <v>1</v>
      </c>
      <c r="F35" s="20"/>
    </row>
  </sheetData>
  <sheetProtection sheet="1" objects="1" scenarios="1" selectLockedCells="1"/>
  <protectedRanges>
    <protectedRange sqref="D22:D23 F22" name="Intervallo5_1"/>
  </protectedRanges>
  <dataValidations disablePrompts="1" count="2">
    <dataValidation type="list" allowBlank="1" showInputMessage="1" showErrorMessage="1" sqref="D24">
      <formula1>"A,B,C,D,E"</formula1>
    </dataValidation>
    <dataValidation type="list" allowBlank="1" showInputMessage="1" showErrorMessage="1" sqref="D22">
      <formula1>"T1,T2,T3,T4"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classe sismica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2017-03-31T10:21:04Z</dcterms:created>
  <dcterms:modified xsi:type="dcterms:W3CDTF">2018-02-18T10:58:55Z</dcterms:modified>
</cp:coreProperties>
</file>