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520" windowHeight="9555"/>
  </bookViews>
  <sheets>
    <sheet name="Rigidezza-glob" sheetId="6" r:id="rId1"/>
    <sheet name="Periodo-glob" sheetId="5" r:id="rId2"/>
    <sheet name="Rigidezze" sheetId="1" r:id="rId3"/>
    <sheet name="Periodo" sheetId="7" r:id="rId4"/>
    <sheet name="Car.Soll." sheetId="3" r:id="rId5"/>
    <sheet name="SLD" sheetId="4" r:id="rId6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5" i="3"/>
  <c r="O36" s="1"/>
  <c r="L5"/>
  <c r="G31" i="7"/>
  <c r="G30"/>
  <c r="G29"/>
  <c r="G28"/>
  <c r="G27"/>
  <c r="G16"/>
  <c r="G15"/>
  <c r="G14"/>
  <c r="G13"/>
  <c r="G12"/>
  <c r="J31"/>
  <c r="B31"/>
  <c r="D31" s="1"/>
  <c r="C30"/>
  <c r="C29"/>
  <c r="C28" s="1"/>
  <c r="C27" s="1"/>
  <c r="J28"/>
  <c r="B28"/>
  <c r="D28" s="1"/>
  <c r="B27"/>
  <c r="J26"/>
  <c r="H26"/>
  <c r="I26" s="1"/>
  <c r="F26"/>
  <c r="B41" i="3" s="1"/>
  <c r="E26" i="7"/>
  <c r="D26"/>
  <c r="J25"/>
  <c r="H25"/>
  <c r="I25" s="1"/>
  <c r="F25"/>
  <c r="B40" i="3" s="1"/>
  <c r="E25" i="7"/>
  <c r="D25"/>
  <c r="J16"/>
  <c r="D16"/>
  <c r="J15"/>
  <c r="D15"/>
  <c r="B15"/>
  <c r="B30" s="1"/>
  <c r="J14"/>
  <c r="D14"/>
  <c r="B14"/>
  <c r="B29" s="1"/>
  <c r="J13"/>
  <c r="D13"/>
  <c r="J12"/>
  <c r="D12"/>
  <c r="D17" s="1"/>
  <c r="B12"/>
  <c r="B17" s="1"/>
  <c r="J7" s="1"/>
  <c r="K11"/>
  <c r="J11"/>
  <c r="I11"/>
  <c r="L11" s="1"/>
  <c r="H11"/>
  <c r="E11"/>
  <c r="F11" s="1"/>
  <c r="B11" i="3" s="1"/>
  <c r="D11" i="7"/>
  <c r="J10"/>
  <c r="I10"/>
  <c r="L10" s="1"/>
  <c r="H10"/>
  <c r="F10"/>
  <c r="B10" i="3" s="1"/>
  <c r="E10" i="7"/>
  <c r="D10"/>
  <c r="B15" i="5"/>
  <c r="J15" s="1"/>
  <c r="B14"/>
  <c r="D14" s="1"/>
  <c r="B12"/>
  <c r="J12" s="1"/>
  <c r="J26"/>
  <c r="J25"/>
  <c r="E25"/>
  <c r="F25" s="1"/>
  <c r="E26"/>
  <c r="F26" s="1"/>
  <c r="J10"/>
  <c r="J11"/>
  <c r="J13"/>
  <c r="H11"/>
  <c r="I11" s="1"/>
  <c r="K11" s="1"/>
  <c r="H10"/>
  <c r="I10" s="1"/>
  <c r="H26"/>
  <c r="I26" s="1"/>
  <c r="H25"/>
  <c r="I25" s="1"/>
  <c r="G31"/>
  <c r="G29"/>
  <c r="G30" s="1"/>
  <c r="G28"/>
  <c r="G27"/>
  <c r="D26"/>
  <c r="D25"/>
  <c r="G16"/>
  <c r="G15"/>
  <c r="G14"/>
  <c r="G13"/>
  <c r="G12"/>
  <c r="F10"/>
  <c r="E11"/>
  <c r="F11" s="1"/>
  <c r="E10"/>
  <c r="D11"/>
  <c r="D13"/>
  <c r="D10"/>
  <c r="C30"/>
  <c r="C29" s="1"/>
  <c r="B28"/>
  <c r="D28" s="1"/>
  <c r="B27"/>
  <c r="J27" s="1"/>
  <c r="O32" i="6"/>
  <c r="I32"/>
  <c r="D31"/>
  <c r="I30"/>
  <c r="D30"/>
  <c r="O30" s="1"/>
  <c r="Q28" s="1"/>
  <c r="D29"/>
  <c r="P28"/>
  <c r="N28"/>
  <c r="D28"/>
  <c r="H28" s="1"/>
  <c r="J28" s="1"/>
  <c r="K28" s="1"/>
  <c r="D23"/>
  <c r="O22"/>
  <c r="I22"/>
  <c r="D22"/>
  <c r="D21"/>
  <c r="O20" s="1"/>
  <c r="D20"/>
  <c r="I20" s="1"/>
  <c r="D19"/>
  <c r="D18"/>
  <c r="N18" s="1"/>
  <c r="P18" s="1"/>
  <c r="Q18" s="1"/>
  <c r="D13"/>
  <c r="I12"/>
  <c r="D12"/>
  <c r="O12" s="1"/>
  <c r="D11"/>
  <c r="D10"/>
  <c r="O10" s="1"/>
  <c r="D9"/>
  <c r="H8" s="1"/>
  <c r="J8" s="1"/>
  <c r="D8"/>
  <c r="N8" s="1"/>
  <c r="P8" s="1"/>
  <c r="K10" i="7" l="1"/>
  <c r="O6" i="3"/>
  <c r="B13"/>
  <c r="B32" i="7"/>
  <c r="J22" s="1"/>
  <c r="L25"/>
  <c r="K25"/>
  <c r="D30"/>
  <c r="J30"/>
  <c r="E13"/>
  <c r="F13" s="1"/>
  <c r="H13" s="1"/>
  <c r="E12"/>
  <c r="E14"/>
  <c r="E15"/>
  <c r="E16"/>
  <c r="L26"/>
  <c r="K26"/>
  <c r="D29"/>
  <c r="J29"/>
  <c r="D27"/>
  <c r="D32" s="1"/>
  <c r="J27"/>
  <c r="B30" i="5"/>
  <c r="B17"/>
  <c r="J7" s="1"/>
  <c r="D15"/>
  <c r="J14"/>
  <c r="B29"/>
  <c r="J28"/>
  <c r="L10"/>
  <c r="K10"/>
  <c r="K25"/>
  <c r="L25"/>
  <c r="L26"/>
  <c r="K26"/>
  <c r="L11"/>
  <c r="D12"/>
  <c r="D27"/>
  <c r="C28"/>
  <c r="K8" i="6"/>
  <c r="Q8"/>
  <c r="I10"/>
  <c r="H18"/>
  <c r="J18" s="1"/>
  <c r="K18" s="1"/>
  <c r="P11" i="3"/>
  <c r="R11" s="1"/>
  <c r="P12"/>
  <c r="P13"/>
  <c r="P14"/>
  <c r="P15"/>
  <c r="P16"/>
  <c r="P10"/>
  <c r="Q10" s="1"/>
  <c r="F14" i="7" l="1"/>
  <c r="E28"/>
  <c r="F28" s="1"/>
  <c r="E30"/>
  <c r="E31"/>
  <c r="E27"/>
  <c r="E29"/>
  <c r="F15"/>
  <c r="B15" i="3" s="1"/>
  <c r="F16" i="7"/>
  <c r="F12"/>
  <c r="E17"/>
  <c r="B32" i="5"/>
  <c r="J22" s="1"/>
  <c r="J30"/>
  <c r="D30"/>
  <c r="J16"/>
  <c r="D16"/>
  <c r="D17" s="1"/>
  <c r="E12" s="1"/>
  <c r="F12" s="1"/>
  <c r="H12" s="1"/>
  <c r="B31"/>
  <c r="J29"/>
  <c r="D29"/>
  <c r="C27"/>
  <c r="R10" i="3"/>
  <c r="Q11"/>
  <c r="F12" i="4"/>
  <c r="F9"/>
  <c r="F10"/>
  <c r="F11"/>
  <c r="F8"/>
  <c r="E4"/>
  <c r="K54" i="3"/>
  <c r="C46"/>
  <c r="C44"/>
  <c r="K25"/>
  <c r="K24"/>
  <c r="C45"/>
  <c r="C43"/>
  <c r="C42"/>
  <c r="H16" i="7" l="1"/>
  <c r="I16" s="1"/>
  <c r="B12" i="4" s="1"/>
  <c r="C12" s="1"/>
  <c r="B16" i="3"/>
  <c r="H28" i="7"/>
  <c r="B43" i="3"/>
  <c r="H14" i="7"/>
  <c r="I13" s="1"/>
  <c r="B9" i="4" s="1"/>
  <c r="C9" s="1"/>
  <c r="B14" i="3"/>
  <c r="H12" i="7"/>
  <c r="B12" i="3"/>
  <c r="H15" i="7"/>
  <c r="I15" s="1"/>
  <c r="B11" i="4" s="1"/>
  <c r="C11" s="1"/>
  <c r="F31" i="7"/>
  <c r="F27"/>
  <c r="E32"/>
  <c r="F30"/>
  <c r="F29"/>
  <c r="D31" i="5"/>
  <c r="D32" s="1"/>
  <c r="J31"/>
  <c r="E16"/>
  <c r="E15"/>
  <c r="F15" s="1"/>
  <c r="H15" s="1"/>
  <c r="E14"/>
  <c r="F14" s="1"/>
  <c r="H14" s="1"/>
  <c r="E13"/>
  <c r="F13" s="1"/>
  <c r="H13" s="1"/>
  <c r="K53" i="3"/>
  <c r="K57"/>
  <c r="K23"/>
  <c r="K27"/>
  <c r="K56"/>
  <c r="I3"/>
  <c r="K26"/>
  <c r="K55"/>
  <c r="H29" i="7" l="1"/>
  <c r="I28" s="1"/>
  <c r="B44" i="3"/>
  <c r="H31" i="7"/>
  <c r="I31" s="1"/>
  <c r="K31" s="1"/>
  <c r="B46" i="3"/>
  <c r="L16" i="7"/>
  <c r="K16"/>
  <c r="H27"/>
  <c r="B42" i="3"/>
  <c r="H30" i="7"/>
  <c r="I30" s="1"/>
  <c r="B45" i="3"/>
  <c r="L15" i="7"/>
  <c r="I14"/>
  <c r="B10" i="4" s="1"/>
  <c r="C10" s="1"/>
  <c r="K15" i="7"/>
  <c r="I12"/>
  <c r="B8" i="4" s="1"/>
  <c r="C8" s="1"/>
  <c r="L31" i="7"/>
  <c r="K12"/>
  <c r="L12"/>
  <c r="L13"/>
  <c r="K13"/>
  <c r="F16" i="5"/>
  <c r="H16" s="1"/>
  <c r="I16" s="1"/>
  <c r="L16" s="1"/>
  <c r="E31"/>
  <c r="E30"/>
  <c r="E29"/>
  <c r="E28"/>
  <c r="F28" s="1"/>
  <c r="H28" s="1"/>
  <c r="E27"/>
  <c r="F27" s="1"/>
  <c r="H27" s="1"/>
  <c r="E17"/>
  <c r="K7" i="1"/>
  <c r="L7"/>
  <c r="M7"/>
  <c r="N7"/>
  <c r="O7"/>
  <c r="P7"/>
  <c r="K8"/>
  <c r="L8"/>
  <c r="M8"/>
  <c r="N8"/>
  <c r="O8"/>
  <c r="P8"/>
  <c r="K9"/>
  <c r="L9"/>
  <c r="M9"/>
  <c r="N9"/>
  <c r="O9"/>
  <c r="P9"/>
  <c r="K10"/>
  <c r="L10"/>
  <c r="M10"/>
  <c r="N10"/>
  <c r="O10"/>
  <c r="P10"/>
  <c r="L6"/>
  <c r="M6"/>
  <c r="N6"/>
  <c r="O6"/>
  <c r="P6"/>
  <c r="K6"/>
  <c r="K14" i="7" l="1"/>
  <c r="K17" s="1"/>
  <c r="O17" s="1"/>
  <c r="F3" s="1"/>
  <c r="K6" i="3" s="1"/>
  <c r="L14" i="7"/>
  <c r="L17" s="1"/>
  <c r="I29"/>
  <c r="K29" s="1"/>
  <c r="I27"/>
  <c r="K28"/>
  <c r="L28"/>
  <c r="K27"/>
  <c r="L27"/>
  <c r="L30"/>
  <c r="K30"/>
  <c r="I13" i="5"/>
  <c r="L13" s="1"/>
  <c r="K16"/>
  <c r="I15"/>
  <c r="L15" s="1"/>
  <c r="I14"/>
  <c r="K14" s="1"/>
  <c r="I12"/>
  <c r="L12" s="1"/>
  <c r="K12"/>
  <c r="F31"/>
  <c r="H31" s="1"/>
  <c r="I31" s="1"/>
  <c r="E32"/>
  <c r="F30"/>
  <c r="H30" s="1"/>
  <c r="F29"/>
  <c r="H29" s="1"/>
  <c r="C33" i="1"/>
  <c r="D33"/>
  <c r="E33"/>
  <c r="F33"/>
  <c r="G33"/>
  <c r="C34"/>
  <c r="D34"/>
  <c r="E34"/>
  <c r="F34"/>
  <c r="G34"/>
  <c r="C35"/>
  <c r="D35"/>
  <c r="E35"/>
  <c r="F35"/>
  <c r="G35"/>
  <c r="C36"/>
  <c r="D36"/>
  <c r="E36"/>
  <c r="F36"/>
  <c r="G36"/>
  <c r="C37"/>
  <c r="D37"/>
  <c r="E37"/>
  <c r="F37"/>
  <c r="G37"/>
  <c r="B34"/>
  <c r="B35"/>
  <c r="B36"/>
  <c r="B37"/>
  <c r="B33"/>
  <c r="B20"/>
  <c r="C20"/>
  <c r="D20"/>
  <c r="E20"/>
  <c r="F20"/>
  <c r="G20"/>
  <c r="B21"/>
  <c r="C21"/>
  <c r="D21"/>
  <c r="E21"/>
  <c r="F21"/>
  <c r="G21"/>
  <c r="B22"/>
  <c r="C22"/>
  <c r="D22"/>
  <c r="E22"/>
  <c r="F22"/>
  <c r="G22"/>
  <c r="B23"/>
  <c r="C23"/>
  <c r="D23"/>
  <c r="E23"/>
  <c r="F23"/>
  <c r="G23"/>
  <c r="C19"/>
  <c r="D19"/>
  <c r="E19"/>
  <c r="F19"/>
  <c r="G19"/>
  <c r="B19"/>
  <c r="L29" i="7" l="1"/>
  <c r="L32" s="1"/>
  <c r="K32"/>
  <c r="L14" i="5"/>
  <c r="K15"/>
  <c r="I29"/>
  <c r="K13"/>
  <c r="I28"/>
  <c r="L28" s="1"/>
  <c r="K31"/>
  <c r="L31"/>
  <c r="I30"/>
  <c r="K29"/>
  <c r="L29"/>
  <c r="I27"/>
  <c r="H19" i="1"/>
  <c r="H22"/>
  <c r="H23"/>
  <c r="H36"/>
  <c r="H33"/>
  <c r="H34"/>
  <c r="H21"/>
  <c r="H20"/>
  <c r="H35"/>
  <c r="H37"/>
  <c r="O32" i="7" l="1"/>
  <c r="I3" s="1"/>
  <c r="K36" i="3" s="1"/>
  <c r="K28" i="5"/>
  <c r="L30"/>
  <c r="K30"/>
  <c r="K27"/>
  <c r="L27"/>
  <c r="I22" i="1"/>
  <c r="J22"/>
  <c r="D15" i="3" s="1"/>
  <c r="I23" i="1"/>
  <c r="J23"/>
  <c r="D16" i="3" s="1"/>
  <c r="I37" i="1"/>
  <c r="J37"/>
  <c r="D46" i="3" s="1"/>
  <c r="I34" i="1"/>
  <c r="J34"/>
  <c r="D43" i="3" s="1"/>
  <c r="I35" i="1"/>
  <c r="J35"/>
  <c r="D44" i="3" s="1"/>
  <c r="J33" i="1"/>
  <c r="D42" i="3" s="1"/>
  <c r="J19" i="1"/>
  <c r="D12" i="3" s="1"/>
  <c r="I21" i="1"/>
  <c r="J21"/>
  <c r="D14" i="3" s="1"/>
  <c r="I20" i="1"/>
  <c r="J20"/>
  <c r="D13" i="3" s="1"/>
  <c r="I36" i="1"/>
  <c r="J36"/>
  <c r="D45" i="3" s="1"/>
  <c r="K32" i="5" l="1"/>
  <c r="L32"/>
  <c r="K17" l="1"/>
  <c r="L17" l="1"/>
  <c r="O17" s="1"/>
  <c r="F3" s="1"/>
  <c r="O32" l="1"/>
  <c r="I3" s="1"/>
  <c r="D12" i="4" l="1"/>
  <c r="E12" s="1"/>
  <c r="G12" s="1"/>
  <c r="D11" l="1"/>
  <c r="E11" s="1"/>
  <c r="G11" s="1"/>
  <c r="D10" l="1"/>
  <c r="E10" s="1"/>
  <c r="G10" s="1"/>
  <c r="D8" l="1"/>
  <c r="D9"/>
  <c r="E9" s="1"/>
  <c r="G9" s="1"/>
  <c r="E8" l="1"/>
  <c r="G8" s="1"/>
  <c r="G13" s="1"/>
  <c r="C18" s="1"/>
  <c r="B20" s="1"/>
  <c r="E12" i="3" l="1"/>
  <c r="E13"/>
  <c r="E14"/>
  <c r="E15"/>
  <c r="E16"/>
  <c r="E42"/>
  <c r="E43"/>
  <c r="E44"/>
  <c r="E45"/>
  <c r="E46"/>
  <c r="F16" l="1"/>
  <c r="F27" s="1"/>
  <c r="F17"/>
  <c r="F28" s="1"/>
  <c r="Q16"/>
  <c r="Q27" s="1"/>
  <c r="F12"/>
  <c r="Q12"/>
  <c r="F14"/>
  <c r="Q14"/>
  <c r="F13"/>
  <c r="Q13"/>
  <c r="F15"/>
  <c r="Q15"/>
  <c r="F47"/>
  <c r="F58" s="1"/>
  <c r="F46"/>
  <c r="F57" s="1"/>
  <c r="E57"/>
  <c r="E53"/>
  <c r="F42"/>
  <c r="E26"/>
  <c r="E56"/>
  <c r="F45"/>
  <c r="E25"/>
  <c r="E24"/>
  <c r="F44"/>
  <c r="E55"/>
  <c r="F43"/>
  <c r="E54"/>
  <c r="E27"/>
  <c r="E23"/>
  <c r="R12" l="1"/>
  <c r="R23" s="1"/>
  <c r="Q23"/>
  <c r="R13"/>
  <c r="Q24"/>
  <c r="R15"/>
  <c r="R26" s="1"/>
  <c r="Q26"/>
  <c r="R14"/>
  <c r="R25" s="1"/>
  <c r="Q25"/>
  <c r="R16"/>
  <c r="R17"/>
  <c r="R28" s="1"/>
  <c r="F24"/>
  <c r="G14"/>
  <c r="F26"/>
  <c r="G16"/>
  <c r="L27"/>
  <c r="F54"/>
  <c r="G44"/>
  <c r="L28"/>
  <c r="G13"/>
  <c r="F23"/>
  <c r="G12"/>
  <c r="F55"/>
  <c r="G45"/>
  <c r="G15"/>
  <c r="F25"/>
  <c r="L57"/>
  <c r="F56"/>
  <c r="G46"/>
  <c r="F53"/>
  <c r="G43"/>
  <c r="G42"/>
  <c r="L58"/>
  <c r="T15" l="1"/>
  <c r="T26" s="1"/>
  <c r="S28"/>
  <c r="S23"/>
  <c r="S25"/>
  <c r="S26"/>
  <c r="T14"/>
  <c r="R24"/>
  <c r="T12"/>
  <c r="T16"/>
  <c r="R27"/>
  <c r="T13"/>
  <c r="G53"/>
  <c r="H42"/>
  <c r="L56"/>
  <c r="L23"/>
  <c r="H16"/>
  <c r="H27" s="1"/>
  <c r="G27"/>
  <c r="G54"/>
  <c r="H43"/>
  <c r="H54" s="1"/>
  <c r="H45"/>
  <c r="H56" s="1"/>
  <c r="G56"/>
  <c r="G24"/>
  <c r="H13"/>
  <c r="H24" s="1"/>
  <c r="L54"/>
  <c r="L26"/>
  <c r="H44"/>
  <c r="H55" s="1"/>
  <c r="G55"/>
  <c r="L53"/>
  <c r="L55"/>
  <c r="H14"/>
  <c r="H25" s="1"/>
  <c r="G25"/>
  <c r="H15"/>
  <c r="H26" s="1"/>
  <c r="G26"/>
  <c r="H46"/>
  <c r="H57" s="1"/>
  <c r="G57"/>
  <c r="L25"/>
  <c r="H12"/>
  <c r="G23"/>
  <c r="L24"/>
  <c r="U15" l="1"/>
  <c r="U26" s="1"/>
  <c r="S24"/>
  <c r="S27"/>
  <c r="U14"/>
  <c r="U25" s="1"/>
  <c r="T25"/>
  <c r="U12"/>
  <c r="T23"/>
  <c r="U13"/>
  <c r="U24" s="1"/>
  <c r="T24"/>
  <c r="U16"/>
  <c r="U27" s="1"/>
  <c r="T27"/>
  <c r="H53"/>
  <c r="I42"/>
  <c r="H23"/>
  <c r="I12"/>
  <c r="V12" l="1"/>
  <c r="U23"/>
  <c r="I23"/>
  <c r="I13"/>
  <c r="I53"/>
  <c r="I43"/>
  <c r="V23" l="1"/>
  <c r="V13"/>
  <c r="I54"/>
  <c r="I44"/>
  <c r="I14"/>
  <c r="I24"/>
  <c r="V14" l="1"/>
  <c r="V24"/>
  <c r="I25"/>
  <c r="I15"/>
  <c r="I45"/>
  <c r="I55"/>
  <c r="V15" l="1"/>
  <c r="V25"/>
  <c r="I46"/>
  <c r="I57" s="1"/>
  <c r="I56"/>
  <c r="I16"/>
  <c r="I27" s="1"/>
  <c r="I26"/>
  <c r="V16" l="1"/>
  <c r="V27" s="1"/>
  <c r="V26"/>
</calcChain>
</file>

<file path=xl/sharedStrings.xml><?xml version="1.0" encoding="utf-8"?>
<sst xmlns="http://schemas.openxmlformats.org/spreadsheetml/2006/main" count="357" uniqueCount="113">
  <si>
    <t>Piano</t>
  </si>
  <si>
    <t>30x70</t>
  </si>
  <si>
    <t>2 emerg.</t>
  </si>
  <si>
    <t>70x30</t>
  </si>
  <si>
    <t>1 emerg.</t>
  </si>
  <si>
    <t>2 spess.</t>
  </si>
  <si>
    <t>1 spess.</t>
  </si>
  <si>
    <t>direzione x</t>
  </si>
  <si>
    <t>n.pil</t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</si>
  <si>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2"/>
        <scheme val="minor"/>
      </rPr>
      <t xml:space="preserve"> k</t>
    </r>
  </si>
  <si>
    <t>totale</t>
  </si>
  <si>
    <t>direzione y</t>
  </si>
  <si>
    <t>Rigidezze</t>
  </si>
  <si>
    <t>Rigidezze normalizzate</t>
  </si>
  <si>
    <t>Periodo proprio della struttura</t>
  </si>
  <si>
    <t>Tx</t>
  </si>
  <si>
    <t>s</t>
  </si>
  <si>
    <t>Ty</t>
  </si>
  <si>
    <t>Forze orizzontali</t>
  </si>
  <si>
    <t>Sd</t>
  </si>
  <si>
    <t>(valore arbitrario)</t>
  </si>
  <si>
    <t>Fh</t>
  </si>
  <si>
    <t>piano</t>
  </si>
  <si>
    <t>W</t>
  </si>
  <si>
    <t>z</t>
  </si>
  <si>
    <t>Wz</t>
  </si>
  <si>
    <t>Fi</t>
  </si>
  <si>
    <t>Vi [kN]</t>
  </si>
  <si>
    <t>k [kN/mm]</t>
  </si>
  <si>
    <t>dr [mm]</t>
  </si>
  <si>
    <t>u [mm]</t>
  </si>
  <si>
    <t>m [t]</t>
  </si>
  <si>
    <t>m u2</t>
  </si>
  <si>
    <t>F u</t>
  </si>
  <si>
    <t>5 + torrino</t>
  </si>
  <si>
    <t>Totale</t>
  </si>
  <si>
    <t>periodo proprio</t>
  </si>
  <si>
    <t>duttilità</t>
  </si>
  <si>
    <t>Sisma in direzione x</t>
  </si>
  <si>
    <t>n.pilastri</t>
  </si>
  <si>
    <t>Ltra</t>
  </si>
  <si>
    <t>m</t>
  </si>
  <si>
    <t>Risoluzione dello schema base, traslante</t>
  </si>
  <si>
    <r>
      <t xml:space="preserve">Vi </t>
    </r>
    <r>
      <rPr>
        <sz val="8"/>
        <rFont val="Arial"/>
        <family val="2"/>
      </rPr>
      <t>TOT</t>
    </r>
  </si>
  <si>
    <t>hi</t>
  </si>
  <si>
    <t>Vpil</t>
  </si>
  <si>
    <t>Mpil</t>
  </si>
  <si>
    <t>Mtra</t>
  </si>
  <si>
    <t>Vtra</t>
  </si>
  <si>
    <r>
      <t>D</t>
    </r>
    <r>
      <rPr>
        <sz val="11"/>
        <color theme="1"/>
        <rFont val="Calibri"/>
        <family val="2"/>
        <scheme val="minor"/>
      </rPr>
      <t>Npil</t>
    </r>
  </si>
  <si>
    <t>1 testa</t>
  </si>
  <si>
    <t>1 piede</t>
  </si>
  <si>
    <t>Valori a filo pilastro/trave</t>
  </si>
  <si>
    <t>Incremento per gerarchia delle resistenze</t>
  </si>
  <si>
    <t>incr.</t>
  </si>
  <si>
    <t>Incremento per eccentricità (solo telai eccentrici)</t>
  </si>
  <si>
    <t>Sisma in direzione y</t>
  </si>
  <si>
    <t>pilastri eq.</t>
  </si>
  <si>
    <t>var</t>
  </si>
  <si>
    <t>increm. F</t>
  </si>
  <si>
    <t>Classe A</t>
  </si>
  <si>
    <t>Sd(SLV)</t>
  </si>
  <si>
    <t>Se(SLD)</t>
  </si>
  <si>
    <t>rapporto</t>
  </si>
  <si>
    <t>u max</t>
  </si>
  <si>
    <t>min</t>
  </si>
  <si>
    <t>rapp.piano</t>
  </si>
  <si>
    <t>Caratteristiche della sollecitazione</t>
  </si>
  <si>
    <r>
      <t>u</t>
    </r>
    <r>
      <rPr>
        <sz val="6"/>
        <color theme="1"/>
        <rFont val="Calibri"/>
        <family val="2"/>
        <scheme val="minor"/>
      </rPr>
      <t>SLD</t>
    </r>
    <r>
      <rPr>
        <sz val="11"/>
        <color theme="1"/>
        <rFont val="Calibri"/>
        <family val="2"/>
        <scheme val="minor"/>
      </rPr>
      <t xml:space="preserve"> [mm]</t>
    </r>
  </si>
  <si>
    <r>
      <t>u</t>
    </r>
    <r>
      <rPr>
        <sz val="6"/>
        <color theme="1"/>
        <rFont val="Calibri"/>
        <family val="2"/>
        <scheme val="minor"/>
      </rPr>
      <t>SLV</t>
    </r>
    <r>
      <rPr>
        <sz val="11"/>
        <color theme="1"/>
        <rFont val="Calibri"/>
        <family val="2"/>
        <scheme val="minor"/>
      </rPr>
      <t xml:space="preserve"> [mm]</t>
    </r>
  </si>
  <si>
    <t>Spostamenti per SLD</t>
  </si>
  <si>
    <t>direzione x (la più deformabile)</t>
  </si>
  <si>
    <t>con incr.rot.</t>
  </si>
  <si>
    <t>per SLD</t>
  </si>
  <si>
    <t>ag =</t>
  </si>
  <si>
    <t>g</t>
  </si>
  <si>
    <t>Tr =</t>
  </si>
  <si>
    <t>anni</t>
  </si>
  <si>
    <t>moltiplicando per</t>
  </si>
  <si>
    <t>si ottiene</t>
  </si>
  <si>
    <t>vedi foglio Excel Classe rischio (vers. 2.0)</t>
  </si>
  <si>
    <t>Questi valori si riferiscono al pilastro più rigido</t>
  </si>
  <si>
    <t>Questi valori si riferiscono al pilastro con 1 trave emergente</t>
  </si>
  <si>
    <t>rapp.rig.</t>
  </si>
  <si>
    <t>ordine/impalcato</t>
  </si>
  <si>
    <t>Mpil g.r.</t>
  </si>
  <si>
    <t>Stima delle rigidezze di piano</t>
  </si>
  <si>
    <t>approccio globale semplificato</t>
  </si>
  <si>
    <t>E</t>
  </si>
  <si>
    <t>MPa</t>
  </si>
  <si>
    <t>in rosso: rapporto rispetto a tipologia base, nel piano</t>
  </si>
  <si>
    <t>b [cm]</t>
  </si>
  <si>
    <t>h [cm]</t>
  </si>
  <si>
    <t>I [cm4]</t>
  </si>
  <si>
    <r>
      <t>l</t>
    </r>
    <r>
      <rPr>
        <sz val="11"/>
        <color theme="1"/>
        <rFont val="Calibri"/>
        <family val="2"/>
        <scheme val="minor"/>
      </rPr>
      <t xml:space="preserve"> [m]</t>
    </r>
  </si>
  <si>
    <t>n</t>
  </si>
  <si>
    <r>
      <t>S</t>
    </r>
    <r>
      <rPr>
        <sz val="11"/>
        <color theme="1"/>
        <rFont val="Calibri"/>
        <family val="2"/>
        <scheme val="minor"/>
      </rPr>
      <t>Ip</t>
    </r>
  </si>
  <si>
    <r>
      <t>S</t>
    </r>
    <r>
      <rPr>
        <sz val="11"/>
        <color theme="1"/>
        <rFont val="Calibri"/>
        <family val="2"/>
        <scheme val="minor"/>
      </rPr>
      <t>It</t>
    </r>
  </si>
  <si>
    <t>k (It=inf)</t>
  </si>
  <si>
    <t>pilastro</t>
  </si>
  <si>
    <t>travi sup</t>
  </si>
  <si>
    <t>travi inf</t>
  </si>
  <si>
    <t>4, 3, 2</t>
  </si>
  <si>
    <t>inf</t>
  </si>
  <si>
    <t>stima semplificata, approccio globale</t>
  </si>
  <si>
    <t>moltiplicare i valori della tabella sopra riportata</t>
  </si>
  <si>
    <r>
      <t xml:space="preserve">per un coefficiente che arriva fino a </t>
    </r>
    <r>
      <rPr>
        <b/>
        <sz val="10"/>
        <rFont val="Arial"/>
        <family val="2"/>
      </rPr>
      <t>1.20</t>
    </r>
  </si>
  <si>
    <t>in funzione della distanza del telaio dal centro</t>
  </si>
  <si>
    <t>I tagli di piano sono presi dal foglio Periodo</t>
  </si>
  <si>
    <r>
      <t>D</t>
    </r>
    <r>
      <rPr>
        <sz val="11"/>
        <color theme="1"/>
        <rFont val="Calibri"/>
        <family val="2"/>
        <scheme val="minor"/>
      </rPr>
      <t>Npil è riferito solo a:</t>
    </r>
  </si>
  <si>
    <t>- pilastri di estremità</t>
  </si>
  <si>
    <t>- pilastri con una sola trave emergente</t>
  </si>
  <si>
    <t>luce della trave di estremità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</si>
</sst>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0E+00"/>
    <numFmt numFmtId="167" formatCode="0.000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sz val="8"/>
      <name val="Arial"/>
      <family val="2"/>
    </font>
    <font>
      <sz val="10"/>
      <name val="Symbol"/>
      <family val="1"/>
      <charset val="2"/>
    </font>
    <font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 tint="-0.499984740745262"/>
      <name val="Arial"/>
      <family val="2"/>
    </font>
    <font>
      <sz val="10"/>
      <name val="Arial"/>
    </font>
    <font>
      <sz val="10"/>
      <color indexed="10"/>
      <name val="Arial"/>
      <family val="2"/>
    </font>
    <font>
      <sz val="10"/>
      <name val="ScriptS"/>
    </font>
    <font>
      <sz val="10"/>
      <color indexed="55"/>
      <name val="Arial"/>
      <family val="2"/>
    </font>
    <font>
      <sz val="11"/>
      <color theme="0" tint="-0.499984740745262"/>
      <name val="Calibri"/>
      <family val="2"/>
      <scheme val="minor"/>
    </font>
    <font>
      <sz val="10"/>
      <color theme="0" tint="-0.24997711111789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64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4" fillId="0" borderId="0" xfId="0" applyFont="1"/>
    <xf numFmtId="0" fontId="5" fillId="0" borderId="0" xfId="0" applyFont="1"/>
    <xf numFmtId="1" fontId="0" fillId="0" borderId="0" xfId="0" applyNumberFormat="1" applyAlignment="1">
      <alignment horizontal="center"/>
    </xf>
    <xf numFmtId="164" fontId="0" fillId="0" borderId="0" xfId="0" applyNumberFormat="1" applyBorder="1" applyAlignment="1">
      <alignment horizontal="center"/>
    </xf>
    <xf numFmtId="0" fontId="3" fillId="0" borderId="0" xfId="1" applyFont="1"/>
    <xf numFmtId="0" fontId="4" fillId="0" borderId="0" xfId="1"/>
    <xf numFmtId="0" fontId="4" fillId="0" borderId="0" xfId="1" applyFont="1"/>
    <xf numFmtId="0" fontId="4" fillId="0" borderId="0" xfId="1" applyFont="1" applyAlignment="1">
      <alignment horizontal="center"/>
    </xf>
    <xf numFmtId="0" fontId="5" fillId="0" borderId="0" xfId="1" applyFont="1"/>
    <xf numFmtId="2" fontId="6" fillId="2" borderId="0" xfId="0" applyNumberFormat="1" applyFont="1" applyFill="1" applyAlignment="1" applyProtection="1">
      <alignment horizontal="center" vertical="center"/>
      <protection locked="0"/>
    </xf>
    <xf numFmtId="0" fontId="7" fillId="0" borderId="0" xfId="1" applyFont="1" applyAlignment="1">
      <alignment horizontal="center"/>
    </xf>
    <xf numFmtId="0" fontId="4" fillId="0" borderId="0" xfId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9" fillId="0" borderId="0" xfId="1" applyFont="1" applyAlignment="1">
      <alignment horizontal="center"/>
    </xf>
    <xf numFmtId="0" fontId="4" fillId="0" borderId="0" xfId="1" applyAlignment="1">
      <alignment horizontal="center"/>
    </xf>
    <xf numFmtId="164" fontId="4" fillId="0" borderId="0" xfId="1" applyNumberFormat="1" applyAlignment="1">
      <alignment horizontal="center"/>
    </xf>
    <xf numFmtId="2" fontId="4" fillId="0" borderId="0" xfId="1" applyNumberForma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2" fillId="0" borderId="0" xfId="0" applyFont="1"/>
    <xf numFmtId="0" fontId="13" fillId="0" borderId="0" xfId="0" applyFont="1" applyAlignment="1">
      <alignment horizontal="center"/>
    </xf>
    <xf numFmtId="1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7" fillId="0" borderId="0" xfId="1" applyFont="1"/>
    <xf numFmtId="164" fontId="14" fillId="0" borderId="0" xfId="1" applyNumberFormat="1" applyFont="1" applyAlignment="1">
      <alignment horizontal="center"/>
    </xf>
    <xf numFmtId="164" fontId="4" fillId="0" borderId="0" xfId="1" applyNumberFormat="1" applyFont="1" applyAlignment="1">
      <alignment horizontal="center"/>
    </xf>
    <xf numFmtId="0" fontId="5" fillId="0" borderId="0" xfId="2" applyFont="1"/>
    <xf numFmtId="0" fontId="15" fillId="0" borderId="0" xfId="2"/>
    <xf numFmtId="0" fontId="15" fillId="0" borderId="0" xfId="2" applyAlignment="1">
      <alignment horizontal="center"/>
    </xf>
    <xf numFmtId="0" fontId="16" fillId="0" borderId="0" xfId="2" applyFont="1"/>
    <xf numFmtId="0" fontId="5" fillId="0" borderId="0" xfId="2" applyFont="1" applyAlignment="1">
      <alignment horizontal="center"/>
    </xf>
    <xf numFmtId="0" fontId="5" fillId="0" borderId="0" xfId="2" applyFont="1" applyAlignment="1">
      <alignment horizontal="centerContinuous"/>
    </xf>
    <xf numFmtId="0" fontId="15" fillId="0" borderId="0" xfId="2" applyAlignment="1">
      <alignment horizontal="centerContinuous"/>
    </xf>
    <xf numFmtId="0" fontId="17" fillId="0" borderId="0" xfId="2" applyFont="1" applyAlignment="1">
      <alignment horizontal="center"/>
    </xf>
    <xf numFmtId="0" fontId="9" fillId="0" borderId="0" xfId="2" applyFont="1" applyAlignment="1">
      <alignment horizontal="center" vertical="center"/>
    </xf>
    <xf numFmtId="0" fontId="4" fillId="0" borderId="0" xfId="2" applyFont="1"/>
    <xf numFmtId="2" fontId="15" fillId="0" borderId="0" xfId="2" applyNumberFormat="1" applyAlignment="1">
      <alignment horizontal="center"/>
    </xf>
    <xf numFmtId="1" fontId="15" fillId="0" borderId="0" xfId="2" applyNumberFormat="1" applyAlignment="1">
      <alignment horizontal="center"/>
    </xf>
    <xf numFmtId="0" fontId="18" fillId="0" borderId="0" xfId="2" applyFont="1"/>
    <xf numFmtId="0" fontId="18" fillId="0" borderId="0" xfId="2" applyFont="1" applyAlignment="1">
      <alignment horizontal="center"/>
    </xf>
    <xf numFmtId="2" fontId="18" fillId="0" borderId="0" xfId="2" applyNumberFormat="1" applyFont="1" applyAlignment="1">
      <alignment horizontal="center"/>
    </xf>
    <xf numFmtId="2" fontId="16" fillId="0" borderId="0" xfId="2" applyNumberFormat="1" applyFont="1" applyAlignment="1">
      <alignment horizontal="center"/>
    </xf>
    <xf numFmtId="166" fontId="15" fillId="0" borderId="0" xfId="2" applyNumberFormat="1" applyAlignment="1">
      <alignment horizontal="center"/>
    </xf>
    <xf numFmtId="166" fontId="18" fillId="0" borderId="0" xfId="2" applyNumberFormat="1" applyFont="1" applyAlignment="1">
      <alignment horizontal="center"/>
    </xf>
    <xf numFmtId="1" fontId="0" fillId="0" borderId="0" xfId="0" applyNumberFormat="1" applyBorder="1" applyAlignment="1">
      <alignment horizontal="center"/>
    </xf>
    <xf numFmtId="0" fontId="14" fillId="0" borderId="0" xfId="0" applyFont="1" applyAlignment="1">
      <alignment horizontal="center"/>
    </xf>
    <xf numFmtId="165" fontId="19" fillId="0" borderId="0" xfId="0" applyNumberFormat="1" applyFont="1" applyAlignment="1">
      <alignment horizontal="center"/>
    </xf>
    <xf numFmtId="0" fontId="19" fillId="0" borderId="0" xfId="0" applyFont="1"/>
    <xf numFmtId="164" fontId="4" fillId="0" borderId="0" xfId="1" applyNumberFormat="1" applyAlignment="1">
      <alignment horizontal="center" vertical="center"/>
    </xf>
    <xf numFmtId="0" fontId="4" fillId="0" borderId="0" xfId="1" applyAlignment="1">
      <alignment horizontal="left" vertical="center"/>
    </xf>
    <xf numFmtId="164" fontId="4" fillId="0" borderId="0" xfId="1" applyNumberFormat="1" applyAlignment="1">
      <alignment horizontal="left"/>
    </xf>
    <xf numFmtId="0" fontId="9" fillId="0" borderId="0" xfId="1" applyFont="1" applyAlignment="1">
      <alignment horizontal="left"/>
    </xf>
    <xf numFmtId="0" fontId="4" fillId="0" borderId="0" xfId="1" quotePrefix="1" applyAlignment="1">
      <alignment horizontal="left"/>
    </xf>
    <xf numFmtId="0" fontId="20" fillId="0" borderId="0" xfId="1" applyFont="1" applyAlignment="1">
      <alignment horizontal="center"/>
    </xf>
    <xf numFmtId="165" fontId="20" fillId="0" borderId="0" xfId="1" applyNumberFormat="1" applyFont="1" applyAlignment="1">
      <alignment horizontal="center"/>
    </xf>
    <xf numFmtId="167" fontId="4" fillId="2" borderId="0" xfId="1" applyNumberFormat="1" applyFill="1" applyAlignment="1">
      <alignment horizontal="center"/>
    </xf>
  </cellXfs>
  <cellStyles count="3">
    <cellStyle name="Normale" xfId="0" builtinId="0"/>
    <cellStyle name="Normale 2" xfId="1"/>
    <cellStyle name="Normale 3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3"/>
  <sheetViews>
    <sheetView tabSelected="1" workbookViewId="0">
      <selection activeCell="A2" sqref="A2"/>
    </sheetView>
  </sheetViews>
  <sheetFormatPr defaultRowHeight="12.75"/>
  <cols>
    <col min="1" max="5" width="9.140625" style="35"/>
    <col min="6" max="6" width="4.7109375" style="35" customWidth="1"/>
    <col min="7" max="11" width="9.140625" style="35"/>
    <col min="12" max="12" width="4.7109375" style="35" customWidth="1"/>
    <col min="13" max="261" width="9.140625" style="35"/>
    <col min="262" max="262" width="4.7109375" style="35" customWidth="1"/>
    <col min="263" max="267" width="9.140625" style="35"/>
    <col min="268" max="268" width="4.7109375" style="35" customWidth="1"/>
    <col min="269" max="517" width="9.140625" style="35"/>
    <col min="518" max="518" width="4.7109375" style="35" customWidth="1"/>
    <col min="519" max="523" width="9.140625" style="35"/>
    <col min="524" max="524" width="4.7109375" style="35" customWidth="1"/>
    <col min="525" max="773" width="9.140625" style="35"/>
    <col min="774" max="774" width="4.7109375" style="35" customWidth="1"/>
    <col min="775" max="779" width="9.140625" style="35"/>
    <col min="780" max="780" width="4.7109375" style="35" customWidth="1"/>
    <col min="781" max="1029" width="9.140625" style="35"/>
    <col min="1030" max="1030" width="4.7109375" style="35" customWidth="1"/>
    <col min="1031" max="1035" width="9.140625" style="35"/>
    <col min="1036" max="1036" width="4.7109375" style="35" customWidth="1"/>
    <col min="1037" max="1285" width="9.140625" style="35"/>
    <col min="1286" max="1286" width="4.7109375" style="35" customWidth="1"/>
    <col min="1287" max="1291" width="9.140625" style="35"/>
    <col min="1292" max="1292" width="4.7109375" style="35" customWidth="1"/>
    <col min="1293" max="1541" width="9.140625" style="35"/>
    <col min="1542" max="1542" width="4.7109375" style="35" customWidth="1"/>
    <col min="1543" max="1547" width="9.140625" style="35"/>
    <col min="1548" max="1548" width="4.7109375" style="35" customWidth="1"/>
    <col min="1549" max="1797" width="9.140625" style="35"/>
    <col min="1798" max="1798" width="4.7109375" style="35" customWidth="1"/>
    <col min="1799" max="1803" width="9.140625" style="35"/>
    <col min="1804" max="1804" width="4.7109375" style="35" customWidth="1"/>
    <col min="1805" max="2053" width="9.140625" style="35"/>
    <col min="2054" max="2054" width="4.7109375" style="35" customWidth="1"/>
    <col min="2055" max="2059" width="9.140625" style="35"/>
    <col min="2060" max="2060" width="4.7109375" style="35" customWidth="1"/>
    <col min="2061" max="2309" width="9.140625" style="35"/>
    <col min="2310" max="2310" width="4.7109375" style="35" customWidth="1"/>
    <col min="2311" max="2315" width="9.140625" style="35"/>
    <col min="2316" max="2316" width="4.7109375" style="35" customWidth="1"/>
    <col min="2317" max="2565" width="9.140625" style="35"/>
    <col min="2566" max="2566" width="4.7109375" style="35" customWidth="1"/>
    <col min="2567" max="2571" width="9.140625" style="35"/>
    <col min="2572" max="2572" width="4.7109375" style="35" customWidth="1"/>
    <col min="2573" max="2821" width="9.140625" style="35"/>
    <col min="2822" max="2822" width="4.7109375" style="35" customWidth="1"/>
    <col min="2823" max="2827" width="9.140625" style="35"/>
    <col min="2828" max="2828" width="4.7109375" style="35" customWidth="1"/>
    <col min="2829" max="3077" width="9.140625" style="35"/>
    <col min="3078" max="3078" width="4.7109375" style="35" customWidth="1"/>
    <col min="3079" max="3083" width="9.140625" style="35"/>
    <col min="3084" max="3084" width="4.7109375" style="35" customWidth="1"/>
    <col min="3085" max="3333" width="9.140625" style="35"/>
    <col min="3334" max="3334" width="4.7109375" style="35" customWidth="1"/>
    <col min="3335" max="3339" width="9.140625" style="35"/>
    <col min="3340" max="3340" width="4.7109375" style="35" customWidth="1"/>
    <col min="3341" max="3589" width="9.140625" style="35"/>
    <col min="3590" max="3590" width="4.7109375" style="35" customWidth="1"/>
    <col min="3591" max="3595" width="9.140625" style="35"/>
    <col min="3596" max="3596" width="4.7109375" style="35" customWidth="1"/>
    <col min="3597" max="3845" width="9.140625" style="35"/>
    <col min="3846" max="3846" width="4.7109375" style="35" customWidth="1"/>
    <col min="3847" max="3851" width="9.140625" style="35"/>
    <col min="3852" max="3852" width="4.7109375" style="35" customWidth="1"/>
    <col min="3853" max="4101" width="9.140625" style="35"/>
    <col min="4102" max="4102" width="4.7109375" style="35" customWidth="1"/>
    <col min="4103" max="4107" width="9.140625" style="35"/>
    <col min="4108" max="4108" width="4.7109375" style="35" customWidth="1"/>
    <col min="4109" max="4357" width="9.140625" style="35"/>
    <col min="4358" max="4358" width="4.7109375" style="35" customWidth="1"/>
    <col min="4359" max="4363" width="9.140625" style="35"/>
    <col min="4364" max="4364" width="4.7109375" style="35" customWidth="1"/>
    <col min="4365" max="4613" width="9.140625" style="35"/>
    <col min="4614" max="4614" width="4.7109375" style="35" customWidth="1"/>
    <col min="4615" max="4619" width="9.140625" style="35"/>
    <col min="4620" max="4620" width="4.7109375" style="35" customWidth="1"/>
    <col min="4621" max="4869" width="9.140625" style="35"/>
    <col min="4870" max="4870" width="4.7109375" style="35" customWidth="1"/>
    <col min="4871" max="4875" width="9.140625" style="35"/>
    <col min="4876" max="4876" width="4.7109375" style="35" customWidth="1"/>
    <col min="4877" max="5125" width="9.140625" style="35"/>
    <col min="5126" max="5126" width="4.7109375" style="35" customWidth="1"/>
    <col min="5127" max="5131" width="9.140625" style="35"/>
    <col min="5132" max="5132" width="4.7109375" style="35" customWidth="1"/>
    <col min="5133" max="5381" width="9.140625" style="35"/>
    <col min="5382" max="5382" width="4.7109375" style="35" customWidth="1"/>
    <col min="5383" max="5387" width="9.140625" style="35"/>
    <col min="5388" max="5388" width="4.7109375" style="35" customWidth="1"/>
    <col min="5389" max="5637" width="9.140625" style="35"/>
    <col min="5638" max="5638" width="4.7109375" style="35" customWidth="1"/>
    <col min="5639" max="5643" width="9.140625" style="35"/>
    <col min="5644" max="5644" width="4.7109375" style="35" customWidth="1"/>
    <col min="5645" max="5893" width="9.140625" style="35"/>
    <col min="5894" max="5894" width="4.7109375" style="35" customWidth="1"/>
    <col min="5895" max="5899" width="9.140625" style="35"/>
    <col min="5900" max="5900" width="4.7109375" style="35" customWidth="1"/>
    <col min="5901" max="6149" width="9.140625" style="35"/>
    <col min="6150" max="6150" width="4.7109375" style="35" customWidth="1"/>
    <col min="6151" max="6155" width="9.140625" style="35"/>
    <col min="6156" max="6156" width="4.7109375" style="35" customWidth="1"/>
    <col min="6157" max="6405" width="9.140625" style="35"/>
    <col min="6406" max="6406" width="4.7109375" style="35" customWidth="1"/>
    <col min="6407" max="6411" width="9.140625" style="35"/>
    <col min="6412" max="6412" width="4.7109375" style="35" customWidth="1"/>
    <col min="6413" max="6661" width="9.140625" style="35"/>
    <col min="6662" max="6662" width="4.7109375" style="35" customWidth="1"/>
    <col min="6663" max="6667" width="9.140625" style="35"/>
    <col min="6668" max="6668" width="4.7109375" style="35" customWidth="1"/>
    <col min="6669" max="6917" width="9.140625" style="35"/>
    <col min="6918" max="6918" width="4.7109375" style="35" customWidth="1"/>
    <col min="6919" max="6923" width="9.140625" style="35"/>
    <col min="6924" max="6924" width="4.7109375" style="35" customWidth="1"/>
    <col min="6925" max="7173" width="9.140625" style="35"/>
    <col min="7174" max="7174" width="4.7109375" style="35" customWidth="1"/>
    <col min="7175" max="7179" width="9.140625" style="35"/>
    <col min="7180" max="7180" width="4.7109375" style="35" customWidth="1"/>
    <col min="7181" max="7429" width="9.140625" style="35"/>
    <col min="7430" max="7430" width="4.7109375" style="35" customWidth="1"/>
    <col min="7431" max="7435" width="9.140625" style="35"/>
    <col min="7436" max="7436" width="4.7109375" style="35" customWidth="1"/>
    <col min="7437" max="7685" width="9.140625" style="35"/>
    <col min="7686" max="7686" width="4.7109375" style="35" customWidth="1"/>
    <col min="7687" max="7691" width="9.140625" style="35"/>
    <col min="7692" max="7692" width="4.7109375" style="35" customWidth="1"/>
    <col min="7693" max="7941" width="9.140625" style="35"/>
    <col min="7942" max="7942" width="4.7109375" style="35" customWidth="1"/>
    <col min="7943" max="7947" width="9.140625" style="35"/>
    <col min="7948" max="7948" width="4.7109375" style="35" customWidth="1"/>
    <col min="7949" max="8197" width="9.140625" style="35"/>
    <col min="8198" max="8198" width="4.7109375" style="35" customWidth="1"/>
    <col min="8199" max="8203" width="9.140625" style="35"/>
    <col min="8204" max="8204" width="4.7109375" style="35" customWidth="1"/>
    <col min="8205" max="8453" width="9.140625" style="35"/>
    <col min="8454" max="8454" width="4.7109375" style="35" customWidth="1"/>
    <col min="8455" max="8459" width="9.140625" style="35"/>
    <col min="8460" max="8460" width="4.7109375" style="35" customWidth="1"/>
    <col min="8461" max="8709" width="9.140625" style="35"/>
    <col min="8710" max="8710" width="4.7109375" style="35" customWidth="1"/>
    <col min="8711" max="8715" width="9.140625" style="35"/>
    <col min="8716" max="8716" width="4.7109375" style="35" customWidth="1"/>
    <col min="8717" max="8965" width="9.140625" style="35"/>
    <col min="8966" max="8966" width="4.7109375" style="35" customWidth="1"/>
    <col min="8967" max="8971" width="9.140625" style="35"/>
    <col min="8972" max="8972" width="4.7109375" style="35" customWidth="1"/>
    <col min="8973" max="9221" width="9.140625" style="35"/>
    <col min="9222" max="9222" width="4.7109375" style="35" customWidth="1"/>
    <col min="9223" max="9227" width="9.140625" style="35"/>
    <col min="9228" max="9228" width="4.7109375" style="35" customWidth="1"/>
    <col min="9229" max="9477" width="9.140625" style="35"/>
    <col min="9478" max="9478" width="4.7109375" style="35" customWidth="1"/>
    <col min="9479" max="9483" width="9.140625" style="35"/>
    <col min="9484" max="9484" width="4.7109375" style="35" customWidth="1"/>
    <col min="9485" max="9733" width="9.140625" style="35"/>
    <col min="9734" max="9734" width="4.7109375" style="35" customWidth="1"/>
    <col min="9735" max="9739" width="9.140625" style="35"/>
    <col min="9740" max="9740" width="4.7109375" style="35" customWidth="1"/>
    <col min="9741" max="9989" width="9.140625" style="35"/>
    <col min="9990" max="9990" width="4.7109375" style="35" customWidth="1"/>
    <col min="9991" max="9995" width="9.140625" style="35"/>
    <col min="9996" max="9996" width="4.7109375" style="35" customWidth="1"/>
    <col min="9997" max="10245" width="9.140625" style="35"/>
    <col min="10246" max="10246" width="4.7109375" style="35" customWidth="1"/>
    <col min="10247" max="10251" width="9.140625" style="35"/>
    <col min="10252" max="10252" width="4.7109375" style="35" customWidth="1"/>
    <col min="10253" max="10501" width="9.140625" style="35"/>
    <col min="10502" max="10502" width="4.7109375" style="35" customWidth="1"/>
    <col min="10503" max="10507" width="9.140625" style="35"/>
    <col min="10508" max="10508" width="4.7109375" style="35" customWidth="1"/>
    <col min="10509" max="10757" width="9.140625" style="35"/>
    <col min="10758" max="10758" width="4.7109375" style="35" customWidth="1"/>
    <col min="10759" max="10763" width="9.140625" style="35"/>
    <col min="10764" max="10764" width="4.7109375" style="35" customWidth="1"/>
    <col min="10765" max="11013" width="9.140625" style="35"/>
    <col min="11014" max="11014" width="4.7109375" style="35" customWidth="1"/>
    <col min="11015" max="11019" width="9.140625" style="35"/>
    <col min="11020" max="11020" width="4.7109375" style="35" customWidth="1"/>
    <col min="11021" max="11269" width="9.140625" style="35"/>
    <col min="11270" max="11270" width="4.7109375" style="35" customWidth="1"/>
    <col min="11271" max="11275" width="9.140625" style="35"/>
    <col min="11276" max="11276" width="4.7109375" style="35" customWidth="1"/>
    <col min="11277" max="11525" width="9.140625" style="35"/>
    <col min="11526" max="11526" width="4.7109375" style="35" customWidth="1"/>
    <col min="11527" max="11531" width="9.140625" style="35"/>
    <col min="11532" max="11532" width="4.7109375" style="35" customWidth="1"/>
    <col min="11533" max="11781" width="9.140625" style="35"/>
    <col min="11782" max="11782" width="4.7109375" style="35" customWidth="1"/>
    <col min="11783" max="11787" width="9.140625" style="35"/>
    <col min="11788" max="11788" width="4.7109375" style="35" customWidth="1"/>
    <col min="11789" max="12037" width="9.140625" style="35"/>
    <col min="12038" max="12038" width="4.7109375" style="35" customWidth="1"/>
    <col min="12039" max="12043" width="9.140625" style="35"/>
    <col min="12044" max="12044" width="4.7109375" style="35" customWidth="1"/>
    <col min="12045" max="12293" width="9.140625" style="35"/>
    <col min="12294" max="12294" width="4.7109375" style="35" customWidth="1"/>
    <col min="12295" max="12299" width="9.140625" style="35"/>
    <col min="12300" max="12300" width="4.7109375" style="35" customWidth="1"/>
    <col min="12301" max="12549" width="9.140625" style="35"/>
    <col min="12550" max="12550" width="4.7109375" style="35" customWidth="1"/>
    <col min="12551" max="12555" width="9.140625" style="35"/>
    <col min="12556" max="12556" width="4.7109375" style="35" customWidth="1"/>
    <col min="12557" max="12805" width="9.140625" style="35"/>
    <col min="12806" max="12806" width="4.7109375" style="35" customWidth="1"/>
    <col min="12807" max="12811" width="9.140625" style="35"/>
    <col min="12812" max="12812" width="4.7109375" style="35" customWidth="1"/>
    <col min="12813" max="13061" width="9.140625" style="35"/>
    <col min="13062" max="13062" width="4.7109375" style="35" customWidth="1"/>
    <col min="13063" max="13067" width="9.140625" style="35"/>
    <col min="13068" max="13068" width="4.7109375" style="35" customWidth="1"/>
    <col min="13069" max="13317" width="9.140625" style="35"/>
    <col min="13318" max="13318" width="4.7109375" style="35" customWidth="1"/>
    <col min="13319" max="13323" width="9.140625" style="35"/>
    <col min="13324" max="13324" width="4.7109375" style="35" customWidth="1"/>
    <col min="13325" max="13573" width="9.140625" style="35"/>
    <col min="13574" max="13574" width="4.7109375" style="35" customWidth="1"/>
    <col min="13575" max="13579" width="9.140625" style="35"/>
    <col min="13580" max="13580" width="4.7109375" style="35" customWidth="1"/>
    <col min="13581" max="13829" width="9.140625" style="35"/>
    <col min="13830" max="13830" width="4.7109375" style="35" customWidth="1"/>
    <col min="13831" max="13835" width="9.140625" style="35"/>
    <col min="13836" max="13836" width="4.7109375" style="35" customWidth="1"/>
    <col min="13837" max="14085" width="9.140625" style="35"/>
    <col min="14086" max="14086" width="4.7109375" style="35" customWidth="1"/>
    <col min="14087" max="14091" width="9.140625" style="35"/>
    <col min="14092" max="14092" width="4.7109375" style="35" customWidth="1"/>
    <col min="14093" max="14341" width="9.140625" style="35"/>
    <col min="14342" max="14342" width="4.7109375" style="35" customWidth="1"/>
    <col min="14343" max="14347" width="9.140625" style="35"/>
    <col min="14348" max="14348" width="4.7109375" style="35" customWidth="1"/>
    <col min="14349" max="14597" width="9.140625" style="35"/>
    <col min="14598" max="14598" width="4.7109375" style="35" customWidth="1"/>
    <col min="14599" max="14603" width="9.140625" style="35"/>
    <col min="14604" max="14604" width="4.7109375" style="35" customWidth="1"/>
    <col min="14605" max="14853" width="9.140625" style="35"/>
    <col min="14854" max="14854" width="4.7109375" style="35" customWidth="1"/>
    <col min="14855" max="14859" width="9.140625" style="35"/>
    <col min="14860" max="14860" width="4.7109375" style="35" customWidth="1"/>
    <col min="14861" max="15109" width="9.140625" style="35"/>
    <col min="15110" max="15110" width="4.7109375" style="35" customWidth="1"/>
    <col min="15111" max="15115" width="9.140625" style="35"/>
    <col min="15116" max="15116" width="4.7109375" style="35" customWidth="1"/>
    <col min="15117" max="15365" width="9.140625" style="35"/>
    <col min="15366" max="15366" width="4.7109375" style="35" customWidth="1"/>
    <col min="15367" max="15371" width="9.140625" style="35"/>
    <col min="15372" max="15372" width="4.7109375" style="35" customWidth="1"/>
    <col min="15373" max="15621" width="9.140625" style="35"/>
    <col min="15622" max="15622" width="4.7109375" style="35" customWidth="1"/>
    <col min="15623" max="15627" width="9.140625" style="35"/>
    <col min="15628" max="15628" width="4.7109375" style="35" customWidth="1"/>
    <col min="15629" max="15877" width="9.140625" style="35"/>
    <col min="15878" max="15878" width="4.7109375" style="35" customWidth="1"/>
    <col min="15879" max="15883" width="9.140625" style="35"/>
    <col min="15884" max="15884" width="4.7109375" style="35" customWidth="1"/>
    <col min="15885" max="16133" width="9.140625" style="35"/>
    <col min="16134" max="16134" width="4.7109375" style="35" customWidth="1"/>
    <col min="16135" max="16139" width="9.140625" style="35"/>
    <col min="16140" max="16140" width="4.7109375" style="35" customWidth="1"/>
    <col min="16141" max="16384" width="9.140625" style="35"/>
  </cols>
  <sheetData>
    <row r="1" spans="1:17">
      <c r="A1" s="34" t="s">
        <v>86</v>
      </c>
      <c r="E1" s="35" t="s">
        <v>87</v>
      </c>
      <c r="F1" s="34"/>
      <c r="L1" s="34"/>
    </row>
    <row r="3" spans="1:17">
      <c r="A3" s="35" t="s">
        <v>88</v>
      </c>
      <c r="B3" s="36">
        <v>31500</v>
      </c>
      <c r="C3" s="35" t="s">
        <v>89</v>
      </c>
      <c r="E3" s="37" t="s">
        <v>90</v>
      </c>
    </row>
    <row r="5" spans="1:17">
      <c r="A5" s="34" t="s">
        <v>22</v>
      </c>
      <c r="B5" s="38">
        <v>5</v>
      </c>
    </row>
    <row r="6" spans="1:17">
      <c r="G6" s="39" t="s">
        <v>7</v>
      </c>
      <c r="H6" s="40"/>
      <c r="I6" s="40"/>
      <c r="J6" s="40"/>
      <c r="K6" s="40"/>
      <c r="M6" s="39" t="s">
        <v>11</v>
      </c>
      <c r="N6" s="40"/>
      <c r="O6" s="40"/>
      <c r="P6" s="40"/>
      <c r="Q6" s="40"/>
    </row>
    <row r="7" spans="1:17" ht="18.75">
      <c r="B7" s="36" t="s">
        <v>91</v>
      </c>
      <c r="C7" s="36" t="s">
        <v>92</v>
      </c>
      <c r="D7" s="36" t="s">
        <v>93</v>
      </c>
      <c r="E7" s="41" t="s">
        <v>94</v>
      </c>
      <c r="G7" s="36" t="s">
        <v>95</v>
      </c>
      <c r="H7" s="42" t="s">
        <v>96</v>
      </c>
      <c r="I7" s="42" t="s">
        <v>97</v>
      </c>
      <c r="J7" s="43" t="s">
        <v>98</v>
      </c>
      <c r="K7" s="35" t="s">
        <v>28</v>
      </c>
      <c r="M7" s="36" t="s">
        <v>95</v>
      </c>
      <c r="N7" s="42" t="s">
        <v>96</v>
      </c>
      <c r="O7" s="42" t="s">
        <v>97</v>
      </c>
      <c r="P7" s="43" t="s">
        <v>98</v>
      </c>
      <c r="Q7" s="35" t="s">
        <v>28</v>
      </c>
    </row>
    <row r="8" spans="1:17">
      <c r="A8" s="35" t="s">
        <v>99</v>
      </c>
      <c r="B8" s="36">
        <v>30</v>
      </c>
      <c r="C8" s="36">
        <v>70</v>
      </c>
      <c r="D8" s="36">
        <f t="shared" ref="D8:D13" si="0">B8*C8^3/12</f>
        <v>857500</v>
      </c>
      <c r="E8" s="44">
        <v>3.2</v>
      </c>
      <c r="G8" s="36">
        <v>13</v>
      </c>
      <c r="H8" s="36">
        <f>$D8*G8+$D9*G9</f>
        <v>11147500</v>
      </c>
      <c r="J8" s="45">
        <f>12*$B$3*H8/$E8^3/100000000</f>
        <v>1285.9359741210935</v>
      </c>
      <c r="K8" s="44">
        <f>J8/(1+0.5*$E10/$E8*(H8/I10+H8/I12))</f>
        <v>384.26525717804117</v>
      </c>
      <c r="M8" s="36">
        <v>14</v>
      </c>
      <c r="N8" s="36">
        <f>$D8*M8+$D9*M9</f>
        <v>12005000</v>
      </c>
      <c r="P8" s="45">
        <f>12*$B$3*N8/$E8^3/100000000</f>
        <v>1384.8541259765623</v>
      </c>
      <c r="Q8" s="44">
        <f>P8/(1+0.5*$E10/$E8*(N8/O10+N8/O12))</f>
        <v>411.05276369852129</v>
      </c>
    </row>
    <row r="9" spans="1:17">
      <c r="A9" s="46" t="s">
        <v>99</v>
      </c>
      <c r="B9" s="47">
        <v>30</v>
      </c>
      <c r="C9" s="47">
        <v>90</v>
      </c>
      <c r="D9" s="47">
        <f t="shared" si="0"/>
        <v>1822500</v>
      </c>
      <c r="E9" s="48"/>
      <c r="F9" s="46"/>
      <c r="G9" s="47">
        <v>0</v>
      </c>
      <c r="H9" s="36"/>
      <c r="I9" s="36"/>
      <c r="J9" s="36"/>
      <c r="K9" s="49">
        <v>14.402357092559486</v>
      </c>
      <c r="M9" s="47">
        <v>0</v>
      </c>
      <c r="N9" s="36"/>
      <c r="O9" s="36"/>
      <c r="P9" s="36"/>
      <c r="Q9" s="49">
        <v>15.406359477163479</v>
      </c>
    </row>
    <row r="10" spans="1:17">
      <c r="A10" s="35" t="s">
        <v>100</v>
      </c>
      <c r="B10" s="36">
        <v>30</v>
      </c>
      <c r="C10" s="36">
        <v>50</v>
      </c>
      <c r="D10" s="36">
        <f t="shared" si="0"/>
        <v>312500</v>
      </c>
      <c r="E10" s="44">
        <v>4</v>
      </c>
      <c r="G10" s="36">
        <v>15</v>
      </c>
      <c r="H10" s="36"/>
      <c r="I10" s="36">
        <f>$D10*G10+$D11*G11</f>
        <v>4687500</v>
      </c>
      <c r="J10" s="36"/>
      <c r="M10" s="36">
        <v>16</v>
      </c>
      <c r="N10" s="36"/>
      <c r="O10" s="36">
        <f>$D10*M10+$D11*M11</f>
        <v>5000000</v>
      </c>
      <c r="P10" s="36"/>
    </row>
    <row r="11" spans="1:17">
      <c r="A11" s="46"/>
      <c r="B11" s="47">
        <v>30</v>
      </c>
      <c r="C11" s="47">
        <v>60</v>
      </c>
      <c r="D11" s="47">
        <f t="shared" si="0"/>
        <v>540000</v>
      </c>
      <c r="E11" s="48"/>
      <c r="F11" s="46"/>
      <c r="G11" s="47">
        <v>0</v>
      </c>
      <c r="I11" s="36"/>
      <c r="J11" s="36"/>
      <c r="M11" s="47">
        <v>0</v>
      </c>
      <c r="O11" s="36"/>
      <c r="P11" s="36"/>
    </row>
    <row r="12" spans="1:17">
      <c r="A12" s="35" t="s">
        <v>101</v>
      </c>
      <c r="B12" s="36">
        <v>30</v>
      </c>
      <c r="C12" s="36">
        <v>60</v>
      </c>
      <c r="D12" s="36">
        <f t="shared" si="0"/>
        <v>540000</v>
      </c>
      <c r="E12" s="44"/>
      <c r="G12" s="36">
        <v>15</v>
      </c>
      <c r="H12" s="36"/>
      <c r="I12" s="36">
        <f>$D12*G12+$D13*G13</f>
        <v>8100000</v>
      </c>
      <c r="J12" s="36"/>
      <c r="M12" s="36">
        <v>16</v>
      </c>
      <c r="N12" s="36"/>
      <c r="O12" s="36">
        <f>$D12*M12+$D13*M13</f>
        <v>8640000</v>
      </c>
      <c r="P12" s="36"/>
    </row>
    <row r="13" spans="1:17">
      <c r="A13" s="46"/>
      <c r="B13" s="47">
        <v>30</v>
      </c>
      <c r="C13" s="47">
        <v>70</v>
      </c>
      <c r="D13" s="47">
        <f t="shared" si="0"/>
        <v>857500</v>
      </c>
      <c r="E13" s="48"/>
      <c r="F13" s="46"/>
      <c r="G13" s="47">
        <v>0</v>
      </c>
      <c r="I13" s="36"/>
      <c r="J13" s="36"/>
      <c r="M13" s="47">
        <v>0</v>
      </c>
      <c r="O13" s="36"/>
      <c r="P13" s="36"/>
    </row>
    <row r="15" spans="1:17">
      <c r="A15" s="34" t="s">
        <v>22</v>
      </c>
      <c r="B15" s="38" t="s">
        <v>102</v>
      </c>
    </row>
    <row r="16" spans="1:17">
      <c r="G16" s="39" t="s">
        <v>7</v>
      </c>
      <c r="H16" s="40"/>
      <c r="I16" s="40"/>
      <c r="J16" s="40"/>
      <c r="K16" s="40"/>
      <c r="M16" s="39" t="s">
        <v>7</v>
      </c>
      <c r="N16" s="40"/>
      <c r="O16" s="40"/>
      <c r="P16" s="40"/>
      <c r="Q16" s="40"/>
    </row>
    <row r="17" spans="1:17" ht="18.75">
      <c r="B17" s="36" t="s">
        <v>91</v>
      </c>
      <c r="C17" s="36" t="s">
        <v>92</v>
      </c>
      <c r="D17" s="36" t="s">
        <v>93</v>
      </c>
      <c r="E17" s="41" t="s">
        <v>94</v>
      </c>
      <c r="G17" s="36" t="s">
        <v>95</v>
      </c>
      <c r="H17" s="42" t="s">
        <v>96</v>
      </c>
      <c r="I17" s="42" t="s">
        <v>97</v>
      </c>
      <c r="J17" s="43" t="s">
        <v>98</v>
      </c>
      <c r="K17" s="35" t="s">
        <v>28</v>
      </c>
      <c r="M17" s="36" t="s">
        <v>95</v>
      </c>
      <c r="N17" s="42" t="s">
        <v>96</v>
      </c>
      <c r="O17" s="42" t="s">
        <v>97</v>
      </c>
      <c r="P17" s="43" t="s">
        <v>98</v>
      </c>
      <c r="Q17" s="35" t="s">
        <v>28</v>
      </c>
    </row>
    <row r="18" spans="1:17">
      <c r="A18" s="35" t="s">
        <v>99</v>
      </c>
      <c r="B18" s="36">
        <v>30</v>
      </c>
      <c r="C18" s="36">
        <v>70</v>
      </c>
      <c r="D18" s="36">
        <f t="shared" ref="D18:D23" si="1">B18*C18^3/12</f>
        <v>857500</v>
      </c>
      <c r="E18" s="44">
        <v>3.2</v>
      </c>
      <c r="G18" s="36">
        <v>13</v>
      </c>
      <c r="H18" s="36">
        <f>$D18*G18+$D19*G19</f>
        <v>11147500</v>
      </c>
      <c r="J18" s="45">
        <f>12*$B$3*H18/$E18^3/100000000</f>
        <v>1285.9359741210935</v>
      </c>
      <c r="K18" s="44">
        <f>J18/(1+0.5*$E20/$E18*(H18/I20+H18/I22))</f>
        <v>472.71962061010834</v>
      </c>
      <c r="M18" s="36">
        <v>14</v>
      </c>
      <c r="N18" s="36">
        <f>$D18*M18+$D19*M19</f>
        <v>12005000</v>
      </c>
      <c r="P18" s="45">
        <f>12*$B$3*N18/$E18^3/100000000</f>
        <v>1384.8541259765623</v>
      </c>
      <c r="Q18" s="44">
        <f>P18/(1+0.5*$E20/$E18*(N18/O20+N18/O22))</f>
        <v>506.00580000792934</v>
      </c>
    </row>
    <row r="19" spans="1:17">
      <c r="A19" s="46" t="s">
        <v>99</v>
      </c>
      <c r="B19" s="47">
        <v>30</v>
      </c>
      <c r="C19" s="47">
        <v>90</v>
      </c>
      <c r="D19" s="47">
        <f t="shared" si="1"/>
        <v>1822500</v>
      </c>
      <c r="E19" s="48"/>
      <c r="F19" s="46"/>
      <c r="G19" s="47">
        <v>0</v>
      </c>
      <c r="H19" s="36"/>
      <c r="I19" s="36"/>
      <c r="J19" s="36"/>
      <c r="K19" s="49">
        <v>14.264785136860018</v>
      </c>
      <c r="M19" s="47">
        <v>0</v>
      </c>
      <c r="N19" s="36"/>
      <c r="O19" s="36"/>
      <c r="P19" s="36"/>
      <c r="Q19" s="49">
        <v>15.269228736057517</v>
      </c>
    </row>
    <row r="20" spans="1:17">
      <c r="A20" s="35" t="s">
        <v>100</v>
      </c>
      <c r="B20" s="36">
        <v>30</v>
      </c>
      <c r="C20" s="36">
        <v>60</v>
      </c>
      <c r="D20" s="36">
        <f t="shared" si="1"/>
        <v>540000</v>
      </c>
      <c r="E20" s="44">
        <v>4</v>
      </c>
      <c r="G20" s="36">
        <v>15</v>
      </c>
      <c r="H20" s="36"/>
      <c r="I20" s="36">
        <f>$D20*G20+$D21*G21</f>
        <v>8100000</v>
      </c>
      <c r="J20" s="36"/>
      <c r="M20" s="36">
        <v>16</v>
      </c>
      <c r="N20" s="36"/>
      <c r="O20" s="36">
        <f>$D20*M20+$D21*M21</f>
        <v>8640000</v>
      </c>
      <c r="P20" s="36"/>
    </row>
    <row r="21" spans="1:17">
      <c r="A21" s="46"/>
      <c r="B21" s="47">
        <v>30</v>
      </c>
      <c r="C21" s="47">
        <v>70</v>
      </c>
      <c r="D21" s="47">
        <f t="shared" si="1"/>
        <v>857500</v>
      </c>
      <c r="E21" s="48"/>
      <c r="F21" s="46"/>
      <c r="G21" s="47">
        <v>0</v>
      </c>
      <c r="I21" s="36"/>
      <c r="J21" s="36"/>
      <c r="M21" s="47">
        <v>0</v>
      </c>
      <c r="O21" s="36"/>
      <c r="P21" s="36"/>
    </row>
    <row r="22" spans="1:17">
      <c r="A22" s="35" t="s">
        <v>101</v>
      </c>
      <c r="B22" s="36">
        <v>30</v>
      </c>
      <c r="C22" s="36">
        <v>60</v>
      </c>
      <c r="D22" s="36">
        <f t="shared" si="1"/>
        <v>540000</v>
      </c>
      <c r="E22" s="44"/>
      <c r="G22" s="36">
        <v>15</v>
      </c>
      <c r="H22" s="36"/>
      <c r="I22" s="36">
        <f>$D22*G22+$D23*G23</f>
        <v>8100000</v>
      </c>
      <c r="J22" s="36"/>
      <c r="M22" s="36">
        <v>16</v>
      </c>
      <c r="N22" s="36"/>
      <c r="O22" s="36">
        <f>$D22*M22+$D23*M23</f>
        <v>8640000</v>
      </c>
      <c r="P22" s="36"/>
    </row>
    <row r="23" spans="1:17">
      <c r="A23" s="46"/>
      <c r="B23" s="47">
        <v>30</v>
      </c>
      <c r="C23" s="47">
        <v>70</v>
      </c>
      <c r="D23" s="47">
        <f t="shared" si="1"/>
        <v>857500</v>
      </c>
      <c r="E23" s="48"/>
      <c r="F23" s="46"/>
      <c r="G23" s="47">
        <v>0</v>
      </c>
      <c r="I23" s="36"/>
      <c r="J23" s="36"/>
      <c r="M23" s="47">
        <v>0</v>
      </c>
      <c r="O23" s="36"/>
      <c r="P23" s="36"/>
    </row>
    <row r="25" spans="1:17">
      <c r="A25" s="34" t="s">
        <v>22</v>
      </c>
      <c r="B25" s="38">
        <v>1</v>
      </c>
    </row>
    <row r="26" spans="1:17">
      <c r="G26" s="39" t="s">
        <v>7</v>
      </c>
      <c r="H26" s="40"/>
      <c r="I26" s="40"/>
      <c r="J26" s="40"/>
      <c r="K26" s="40"/>
      <c r="M26" s="39" t="s">
        <v>7</v>
      </c>
      <c r="N26" s="40"/>
      <c r="O26" s="40"/>
      <c r="P26" s="40"/>
      <c r="Q26" s="40"/>
    </row>
    <row r="27" spans="1:17" ht="18.75">
      <c r="B27" s="36" t="s">
        <v>91</v>
      </c>
      <c r="C27" s="36" t="s">
        <v>92</v>
      </c>
      <c r="D27" s="36" t="s">
        <v>93</v>
      </c>
      <c r="E27" s="41" t="s">
        <v>94</v>
      </c>
      <c r="G27" s="36" t="s">
        <v>95</v>
      </c>
      <c r="H27" s="42" t="s">
        <v>96</v>
      </c>
      <c r="I27" s="42" t="s">
        <v>97</v>
      </c>
      <c r="J27" s="43" t="s">
        <v>98</v>
      </c>
      <c r="K27" s="35" t="s">
        <v>28</v>
      </c>
      <c r="M27" s="36" t="s">
        <v>95</v>
      </c>
      <c r="N27" s="42" t="s">
        <v>96</v>
      </c>
      <c r="O27" s="42" t="s">
        <v>97</v>
      </c>
      <c r="P27" s="43" t="s">
        <v>98</v>
      </c>
      <c r="Q27" s="35" t="s">
        <v>28</v>
      </c>
    </row>
    <row r="28" spans="1:17">
      <c r="A28" s="35" t="s">
        <v>99</v>
      </c>
      <c r="B28" s="36">
        <v>30</v>
      </c>
      <c r="C28" s="36">
        <v>70</v>
      </c>
      <c r="D28" s="36">
        <f>B28*C28^3/12</f>
        <v>857500</v>
      </c>
      <c r="E28" s="44">
        <v>3.6</v>
      </c>
      <c r="G28" s="36">
        <v>13</v>
      </c>
      <c r="H28" s="36">
        <f>$D28*G28+$D29*G29</f>
        <v>11147500</v>
      </c>
      <c r="J28" s="45">
        <f>12*$B$3*H28/$E28^3/100000000</f>
        <v>903.15393518518511</v>
      </c>
      <c r="K28" s="44">
        <f>J28/(1+0.5*$E30/$E28*(H28/I30+H28/I32))</f>
        <v>511.8252599358662</v>
      </c>
      <c r="M28" s="36">
        <v>14</v>
      </c>
      <c r="N28" s="36">
        <f>$D28*M28+$D29*M29</f>
        <v>12005000</v>
      </c>
      <c r="P28" s="45">
        <f>12*$B$3*N28/$E28^3/100000000</f>
        <v>972.62731481481478</v>
      </c>
      <c r="Q28" s="44">
        <f>P28/(1+0.5*$E30/$E28*(N28/O30+N28/O32))</f>
        <v>548.90953296802991</v>
      </c>
    </row>
    <row r="29" spans="1:17">
      <c r="A29" s="46" t="s">
        <v>99</v>
      </c>
      <c r="B29" s="47">
        <v>30</v>
      </c>
      <c r="C29" s="47">
        <v>90</v>
      </c>
      <c r="D29" s="47">
        <f>B29*C29^3/12</f>
        <v>1822500</v>
      </c>
      <c r="E29" s="48"/>
      <c r="F29" s="46"/>
      <c r="G29" s="47">
        <v>0</v>
      </c>
      <c r="H29" s="36"/>
      <c r="I29" s="36"/>
      <c r="J29" s="36"/>
      <c r="K29" s="49">
        <v>13.866582450685062</v>
      </c>
      <c r="M29" s="47">
        <v>0</v>
      </c>
      <c r="N29" s="36"/>
      <c r="O29" s="36"/>
      <c r="P29" s="36"/>
      <c r="Q29" s="49">
        <v>14.871284972965126</v>
      </c>
    </row>
    <row r="30" spans="1:17">
      <c r="A30" s="35" t="s">
        <v>100</v>
      </c>
      <c r="B30" s="36">
        <v>30</v>
      </c>
      <c r="C30" s="36">
        <v>60</v>
      </c>
      <c r="D30" s="36">
        <f>B30*C30^3/12</f>
        <v>540000</v>
      </c>
      <c r="E30" s="44">
        <v>4</v>
      </c>
      <c r="G30" s="36">
        <v>15</v>
      </c>
      <c r="H30" s="36"/>
      <c r="I30" s="36">
        <f>$D30*G30+$D31*G31</f>
        <v>8100000</v>
      </c>
      <c r="J30" s="36"/>
      <c r="M30" s="36">
        <v>16</v>
      </c>
      <c r="N30" s="36"/>
      <c r="O30" s="36">
        <f>$D30*M30+$D31*M31</f>
        <v>8640000</v>
      </c>
      <c r="P30" s="36"/>
    </row>
    <row r="31" spans="1:17">
      <c r="A31" s="46"/>
      <c r="B31" s="47">
        <v>30</v>
      </c>
      <c r="C31" s="47">
        <v>70</v>
      </c>
      <c r="D31" s="47">
        <f>B31*C31^3/12</f>
        <v>857500</v>
      </c>
      <c r="E31" s="48"/>
      <c r="F31" s="46"/>
      <c r="G31" s="47">
        <v>0</v>
      </c>
      <c r="I31" s="36"/>
      <c r="J31" s="36"/>
      <c r="M31" s="47">
        <v>0</v>
      </c>
      <c r="O31" s="36"/>
      <c r="P31" s="36"/>
    </row>
    <row r="32" spans="1:17">
      <c r="A32" s="35" t="s">
        <v>101</v>
      </c>
      <c r="B32" s="36"/>
      <c r="C32" s="36" t="s">
        <v>103</v>
      </c>
      <c r="D32" s="50">
        <v>9.9999999999999997E+98</v>
      </c>
      <c r="E32" s="44"/>
      <c r="G32" s="36">
        <v>15</v>
      </c>
      <c r="H32" s="36"/>
      <c r="I32" s="36">
        <f>$D32*G32+$D33*G33</f>
        <v>1.4999999999999999E+100</v>
      </c>
      <c r="J32" s="36"/>
      <c r="M32" s="36">
        <v>16</v>
      </c>
      <c r="N32" s="36"/>
      <c r="O32" s="36">
        <f>$D32*M32+$D33*M33</f>
        <v>1.5999999999999999E+100</v>
      </c>
      <c r="P32" s="36"/>
    </row>
    <row r="33" spans="1:16">
      <c r="A33" s="46"/>
      <c r="B33" s="47"/>
      <c r="C33" s="47" t="s">
        <v>103</v>
      </c>
      <c r="D33" s="51">
        <v>9.9999999999999997E+98</v>
      </c>
      <c r="E33" s="48"/>
      <c r="F33" s="46"/>
      <c r="G33" s="47">
        <v>0</v>
      </c>
      <c r="I33" s="36"/>
      <c r="J33" s="36"/>
      <c r="M33" s="47">
        <v>0</v>
      </c>
      <c r="O33" s="36"/>
      <c r="P33" s="36"/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2"/>
  <sheetViews>
    <sheetView workbookViewId="0">
      <selection activeCell="A2" sqref="A2"/>
    </sheetView>
  </sheetViews>
  <sheetFormatPr defaultRowHeight="15"/>
  <sheetData>
    <row r="1" spans="1:12" ht="15.75">
      <c r="A1" s="5" t="s">
        <v>14</v>
      </c>
      <c r="E1" t="s">
        <v>104</v>
      </c>
    </row>
    <row r="3" spans="1:12">
      <c r="A3" t="s">
        <v>36</v>
      </c>
      <c r="E3" s="6" t="s">
        <v>15</v>
      </c>
      <c r="F3" s="7">
        <f>ROUND(O17,3)</f>
        <v>0.57299999999999995</v>
      </c>
      <c r="G3" s="8" t="s">
        <v>16</v>
      </c>
      <c r="H3" s="6" t="s">
        <v>17</v>
      </c>
      <c r="I3" s="7">
        <f>ROUND(O32,3)</f>
        <v>0.55400000000000005</v>
      </c>
      <c r="J3" s="8" t="s">
        <v>16</v>
      </c>
    </row>
    <row r="4" spans="1:12">
      <c r="E4" s="7"/>
      <c r="F4" s="7"/>
    </row>
    <row r="5" spans="1:12">
      <c r="A5" s="9" t="s">
        <v>7</v>
      </c>
    </row>
    <row r="7" spans="1:12">
      <c r="A7" s="9" t="s">
        <v>18</v>
      </c>
      <c r="D7" s="1" t="s">
        <v>19</v>
      </c>
      <c r="E7" s="7">
        <v>0.11899999999999999</v>
      </c>
      <c r="F7" t="s">
        <v>20</v>
      </c>
      <c r="I7" s="1" t="s">
        <v>21</v>
      </c>
      <c r="J7" s="4">
        <f>E7*B17*0.85</f>
        <v>1602.5599099999999</v>
      </c>
    </row>
    <row r="9" spans="1:12">
      <c r="A9" s="1" t="s">
        <v>22</v>
      </c>
      <c r="B9" s="1" t="s">
        <v>23</v>
      </c>
      <c r="C9" s="1" t="s">
        <v>24</v>
      </c>
      <c r="D9" s="1" t="s">
        <v>25</v>
      </c>
      <c r="E9" s="1" t="s">
        <v>26</v>
      </c>
      <c r="F9" s="1" t="s">
        <v>27</v>
      </c>
      <c r="G9" t="s">
        <v>28</v>
      </c>
      <c r="H9" s="1" t="s">
        <v>29</v>
      </c>
      <c r="I9" s="1" t="s">
        <v>30</v>
      </c>
      <c r="J9" s="1" t="s">
        <v>31</v>
      </c>
      <c r="K9" s="1" t="s">
        <v>32</v>
      </c>
      <c r="L9" s="1" t="s">
        <v>33</v>
      </c>
    </row>
    <row r="10" spans="1:12">
      <c r="A10" s="1">
        <v>7</v>
      </c>
      <c r="B10" s="1"/>
      <c r="C10" s="1"/>
      <c r="D10" s="10" t="str">
        <f>IF(B10="","",B10*C10)</f>
        <v/>
      </c>
      <c r="E10" s="11" t="str">
        <f>IF(B10="","",$J$7*D10/$D$17)</f>
        <v/>
      </c>
      <c r="F10" s="4" t="str">
        <f>E10</f>
        <v/>
      </c>
      <c r="G10" s="4"/>
      <c r="H10" s="2" t="str">
        <f>IF(G10="","",F10/G10)</f>
        <v/>
      </c>
      <c r="I10" s="2" t="str">
        <f>IF(H10="","",SUM(H10:$H$16))</f>
        <v/>
      </c>
      <c r="J10" s="4" t="str">
        <f t="shared" ref="J10:J15" si="0">IF(B10="","",B10/9.81)</f>
        <v/>
      </c>
      <c r="K10" s="11" t="str">
        <f t="shared" ref="K10:K15" si="1">IF(I10="","",J10*I10^2/1000)</f>
        <v/>
      </c>
      <c r="L10" s="52" t="str">
        <f t="shared" ref="L10:L15" si="2">IF(I10="","",E10*I10)</f>
        <v/>
      </c>
    </row>
    <row r="11" spans="1:12">
      <c r="A11" s="1">
        <v>6</v>
      </c>
      <c r="B11" s="1"/>
      <c r="C11" s="1"/>
      <c r="D11" s="10" t="str">
        <f t="shared" ref="D11:D16" si="3">IF(B11="","",B11*C11)</f>
        <v/>
      </c>
      <c r="E11" s="11" t="str">
        <f t="shared" ref="E11:E16" si="4">IF(B11="","",$J$7*D11/$D$17)</f>
        <v/>
      </c>
      <c r="F11" s="4" t="str">
        <f>IF(E11="","",SUM($E$10:E11))</f>
        <v/>
      </c>
      <c r="G11" s="4"/>
      <c r="H11" s="2" t="str">
        <f t="shared" ref="H11:H16" si="5">IF(G11="","",F11/G11)</f>
        <v/>
      </c>
      <c r="I11" s="2" t="str">
        <f>IF(H11="","",SUM(H11:$H$16))</f>
        <v/>
      </c>
      <c r="J11" s="4" t="str">
        <f t="shared" si="0"/>
        <v/>
      </c>
      <c r="K11" s="11" t="str">
        <f t="shared" si="1"/>
        <v/>
      </c>
      <c r="L11" s="52" t="str">
        <f t="shared" si="2"/>
        <v/>
      </c>
    </row>
    <row r="12" spans="1:12">
      <c r="A12" s="1">
        <v>5</v>
      </c>
      <c r="B12" s="10">
        <f>368.3+2703.6</f>
        <v>3071.9</v>
      </c>
      <c r="C12" s="2">
        <v>16.399999999999999</v>
      </c>
      <c r="D12" s="10">
        <f t="shared" si="3"/>
        <v>50379.159999999996</v>
      </c>
      <c r="E12" s="11">
        <f t="shared" si="4"/>
        <v>506.3879728999101</v>
      </c>
      <c r="F12" s="4">
        <f>IF(E12="","",SUM($E$10:E12))</f>
        <v>506.3879728999101</v>
      </c>
      <c r="G12" s="4">
        <f>'Rigidezza-glob'!K8</f>
        <v>384.26525717804117</v>
      </c>
      <c r="H12" s="2">
        <f t="shared" si="5"/>
        <v>1.3178083717968965</v>
      </c>
      <c r="I12" s="2">
        <f>IF(H12="","",SUM(H12:$H$16))</f>
        <v>12.300984816507075</v>
      </c>
      <c r="J12" s="4">
        <f t="shared" si="0"/>
        <v>313.13965341488279</v>
      </c>
      <c r="K12" s="11">
        <f t="shared" si="1"/>
        <v>47.38248474229303</v>
      </c>
      <c r="L12" s="52">
        <f t="shared" si="2"/>
        <v>6229.0707659035907</v>
      </c>
    </row>
    <row r="13" spans="1:12">
      <c r="A13" s="1">
        <v>4</v>
      </c>
      <c r="B13" s="10">
        <v>3285.3</v>
      </c>
      <c r="C13" s="2">
        <v>13.2</v>
      </c>
      <c r="D13" s="10">
        <f t="shared" si="3"/>
        <v>43365.96</v>
      </c>
      <c r="E13" s="11">
        <f t="shared" si="4"/>
        <v>435.89453609902552</v>
      </c>
      <c r="F13" s="4">
        <f>IF(E13="","",SUM($E$10:E13))</f>
        <v>942.28250899893555</v>
      </c>
      <c r="G13" s="4">
        <f>'Rigidezza-glob'!K18</f>
        <v>472.71962061010834</v>
      </c>
      <c r="H13" s="2">
        <f t="shared" si="5"/>
        <v>1.9933221891293471</v>
      </c>
      <c r="I13" s="2">
        <f>IF(H13="","",SUM(H13:$H$16))</f>
        <v>10.983176444710178</v>
      </c>
      <c r="J13" s="4">
        <f t="shared" si="0"/>
        <v>334.89296636085629</v>
      </c>
      <c r="K13" s="11">
        <f t="shared" si="1"/>
        <v>40.398193727707515</v>
      </c>
      <c r="L13" s="52">
        <f t="shared" si="2"/>
        <v>4787.5066012606876</v>
      </c>
    </row>
    <row r="14" spans="1:12">
      <c r="A14" s="1">
        <v>3</v>
      </c>
      <c r="B14" s="10">
        <f>B13</f>
        <v>3285.3</v>
      </c>
      <c r="C14" s="2">
        <v>10</v>
      </c>
      <c r="D14" s="10">
        <f t="shared" si="3"/>
        <v>32853</v>
      </c>
      <c r="E14" s="11">
        <f t="shared" si="4"/>
        <v>330.22313340835268</v>
      </c>
      <c r="F14" s="4">
        <f>IF(E14="","",SUM($E$10:E14))</f>
        <v>1272.5056424072882</v>
      </c>
      <c r="G14" s="4">
        <f>G13</f>
        <v>472.71962061010834</v>
      </c>
      <c r="H14" s="2">
        <f t="shared" si="5"/>
        <v>2.6918824328995448</v>
      </c>
      <c r="I14" s="2">
        <f>IF(H14="","",SUM(H14:$H$16))</f>
        <v>8.9898542555808323</v>
      </c>
      <c r="J14" s="4">
        <f t="shared" si="0"/>
        <v>334.89296636085629</v>
      </c>
      <c r="K14" s="11">
        <f t="shared" si="1"/>
        <v>27.065205455814684</v>
      </c>
      <c r="L14" s="52">
        <f t="shared" si="2"/>
        <v>2968.6578411623163</v>
      </c>
    </row>
    <row r="15" spans="1:12">
      <c r="A15" s="1">
        <v>2</v>
      </c>
      <c r="B15" s="10">
        <f t="shared" ref="B15" si="6">B14</f>
        <v>3285.3</v>
      </c>
      <c r="C15" s="2">
        <v>6.8000000000000007</v>
      </c>
      <c r="D15" s="10">
        <f t="shared" si="3"/>
        <v>22340.040000000005</v>
      </c>
      <c r="E15" s="11">
        <f t="shared" si="4"/>
        <v>224.55173071767987</v>
      </c>
      <c r="F15" s="4">
        <f>IF(E15="","",SUM($E$10:E15))</f>
        <v>1497.0573731249681</v>
      </c>
      <c r="G15" s="4">
        <f>G14</f>
        <v>472.71962061010834</v>
      </c>
      <c r="H15" s="2">
        <f t="shared" si="5"/>
        <v>3.1669033986632793</v>
      </c>
      <c r="I15" s="2">
        <f>IF(H15="","",SUM(H15:$H$16))</f>
        <v>6.2979718226812871</v>
      </c>
      <c r="J15" s="4">
        <f t="shared" si="0"/>
        <v>334.89296636085629</v>
      </c>
      <c r="K15" s="11">
        <f t="shared" si="1"/>
        <v>13.28334501123171</v>
      </c>
      <c r="L15" s="52">
        <f t="shared" si="2"/>
        <v>1414.220472794264</v>
      </c>
    </row>
    <row r="16" spans="1:12">
      <c r="A16" s="1">
        <v>1</v>
      </c>
      <c r="B16" s="10">
        <v>2915.6</v>
      </c>
      <c r="C16" s="2">
        <v>3.6</v>
      </c>
      <c r="D16" s="10">
        <f t="shared" si="3"/>
        <v>10496.16</v>
      </c>
      <c r="E16" s="11">
        <f t="shared" si="4"/>
        <v>105.50253687503165</v>
      </c>
      <c r="F16" s="4">
        <f>IF(E16="","",SUM($E$10:E16))</f>
        <v>1602.5599099999997</v>
      </c>
      <c r="G16" s="4">
        <f>'Rigidezza-glob'!K28</f>
        <v>511.8252599358662</v>
      </c>
      <c r="H16" s="2">
        <f t="shared" si="5"/>
        <v>3.1310684240180078</v>
      </c>
      <c r="I16" s="2">
        <f>IF(H16="","",SUM(H16:$H$16))</f>
        <v>3.1310684240180078</v>
      </c>
      <c r="J16" s="4">
        <f>IF(B16="","",B16/9.81)</f>
        <v>297.20693170234455</v>
      </c>
      <c r="K16" s="11">
        <f>IF(I16="","",J16*I16^2/1000)</f>
        <v>2.913694747796467</v>
      </c>
      <c r="L16" s="52">
        <f>IF(I16="","",E16*I16)</f>
        <v>330.33566186320712</v>
      </c>
    </row>
    <row r="17" spans="1:16">
      <c r="A17" s="1" t="s">
        <v>35</v>
      </c>
      <c r="B17" s="29">
        <f>SUM(B10:B16)</f>
        <v>15843.4</v>
      </c>
      <c r="C17" s="1"/>
      <c r="D17" s="29">
        <f>SUM(D10:D16)</f>
        <v>159434.32</v>
      </c>
      <c r="E17" s="30">
        <f>SUM(E10:E16)</f>
        <v>1602.5599099999997</v>
      </c>
      <c r="F17" s="1"/>
      <c r="K17" s="30">
        <f>SUM(K10:K16)</f>
        <v>131.0429236848434</v>
      </c>
      <c r="L17" s="29">
        <f>SUM(L10:L16)</f>
        <v>15729.791342984066</v>
      </c>
      <c r="N17" s="53" t="s">
        <v>15</v>
      </c>
      <c r="O17" s="54">
        <f>2*PI()*SQRT(K17/L17)</f>
        <v>0.57348910871810388</v>
      </c>
      <c r="P17" s="55" t="s">
        <v>16</v>
      </c>
    </row>
    <row r="20" spans="1:16">
      <c r="A20" s="9" t="s">
        <v>11</v>
      </c>
    </row>
    <row r="22" spans="1:16">
      <c r="A22" s="9" t="s">
        <v>18</v>
      </c>
      <c r="D22" s="1" t="s">
        <v>19</v>
      </c>
      <c r="E22" s="7">
        <v>0.11899999999999999</v>
      </c>
      <c r="F22" t="s">
        <v>20</v>
      </c>
      <c r="I22" s="1" t="s">
        <v>21</v>
      </c>
      <c r="J22" s="4">
        <f>E22*B32*0.85</f>
        <v>1602.5599099999999</v>
      </c>
    </row>
    <row r="24" spans="1:16">
      <c r="A24" s="1" t="s">
        <v>22</v>
      </c>
      <c r="B24" s="1" t="s">
        <v>23</v>
      </c>
      <c r="C24" s="1" t="s">
        <v>24</v>
      </c>
      <c r="D24" s="1" t="s">
        <v>25</v>
      </c>
      <c r="E24" s="1" t="s">
        <v>26</v>
      </c>
      <c r="F24" s="1" t="s">
        <v>27</v>
      </c>
      <c r="G24" t="s">
        <v>28</v>
      </c>
      <c r="H24" s="1" t="s">
        <v>29</v>
      </c>
      <c r="I24" s="1" t="s">
        <v>30</v>
      </c>
      <c r="J24" s="1" t="s">
        <v>31</v>
      </c>
      <c r="K24" s="1" t="s">
        <v>32</v>
      </c>
      <c r="L24" s="1" t="s">
        <v>33</v>
      </c>
    </row>
    <row r="25" spans="1:16">
      <c r="A25" s="1">
        <v>7</v>
      </c>
      <c r="B25" s="1"/>
      <c r="C25" s="1"/>
      <c r="D25" s="10" t="str">
        <f>IF(B25="","",B25*C25)</f>
        <v/>
      </c>
      <c r="E25" s="11" t="str">
        <f t="shared" ref="E25:E30" si="7">IF(B25="","",$J$7*D25/$D$32)</f>
        <v/>
      </c>
      <c r="F25" s="4" t="str">
        <f>E25</f>
        <v/>
      </c>
      <c r="G25" s="4"/>
      <c r="H25" s="2" t="str">
        <f>IF(G25="","",F25/G25)</f>
        <v/>
      </c>
      <c r="I25" s="2" t="str">
        <f>IF(H25="","",SUM(H25:$H$31))</f>
        <v/>
      </c>
      <c r="J25" s="4" t="str">
        <f t="shared" ref="J25:J30" si="8">IF(B25="","",B25/9.81)</f>
        <v/>
      </c>
      <c r="K25" s="11" t="str">
        <f t="shared" ref="K25:K30" si="9">IF(I25="","",J25*I25^2/1000)</f>
        <v/>
      </c>
      <c r="L25" s="52" t="str">
        <f t="shared" ref="L25:L30" si="10">IF(I25="","",E25*I25)</f>
        <v/>
      </c>
    </row>
    <row r="26" spans="1:16">
      <c r="A26" s="1">
        <v>6</v>
      </c>
      <c r="B26" s="1"/>
      <c r="C26" s="1"/>
      <c r="D26" s="10" t="str">
        <f t="shared" ref="D26:D31" si="11">IF(B26="","",B26*C26)</f>
        <v/>
      </c>
      <c r="E26" s="11" t="str">
        <f t="shared" si="7"/>
        <v/>
      </c>
      <c r="F26" s="4" t="str">
        <f>IF(E26="","",SUM($E$25:E26))</f>
        <v/>
      </c>
      <c r="G26" s="4"/>
      <c r="H26" s="2" t="str">
        <f t="shared" ref="H26:H31" si="12">IF(G26="","",F26/G26)</f>
        <v/>
      </c>
      <c r="I26" s="2" t="str">
        <f>IF(H26="","",SUM(H26:$H$31))</f>
        <v/>
      </c>
      <c r="J26" s="4" t="str">
        <f t="shared" si="8"/>
        <v/>
      </c>
      <c r="K26" s="11" t="str">
        <f t="shared" si="9"/>
        <v/>
      </c>
      <c r="L26" s="52" t="str">
        <f t="shared" si="10"/>
        <v/>
      </c>
    </row>
    <row r="27" spans="1:16">
      <c r="A27" s="1">
        <v>5</v>
      </c>
      <c r="B27" s="10">
        <f>B12</f>
        <v>3071.9</v>
      </c>
      <c r="C27" s="2">
        <f>C28+3.2</f>
        <v>16.399999999999999</v>
      </c>
      <c r="D27" s="10">
        <f t="shared" si="11"/>
        <v>50379.159999999996</v>
      </c>
      <c r="E27" s="11">
        <f t="shared" si="7"/>
        <v>506.3879728999101</v>
      </c>
      <c r="F27" s="4">
        <f>IF(E27="","",SUM($E$25:E27))</f>
        <v>506.3879728999101</v>
      </c>
      <c r="G27" s="4">
        <f>'Rigidezza-glob'!Q8</f>
        <v>411.05276369852129</v>
      </c>
      <c r="H27" s="2">
        <f t="shared" si="12"/>
        <v>1.2319293716543664</v>
      </c>
      <c r="I27" s="2">
        <f>IF(H27="","",SUM(H27:$H$31))</f>
        <v>11.487042134893008</v>
      </c>
      <c r="J27" s="4">
        <f t="shared" si="8"/>
        <v>313.13965341488279</v>
      </c>
      <c r="K27" s="11">
        <f t="shared" si="9"/>
        <v>41.319446450291046</v>
      </c>
      <c r="L27" s="52">
        <f t="shared" si="10"/>
        <v>5816.8999813043256</v>
      </c>
    </row>
    <row r="28" spans="1:16">
      <c r="A28" s="1">
        <v>4</v>
      </c>
      <c r="B28" s="10">
        <f>B13</f>
        <v>3285.3</v>
      </c>
      <c r="C28" s="2">
        <f>C29+3.2</f>
        <v>13.2</v>
      </c>
      <c r="D28" s="10">
        <f t="shared" si="11"/>
        <v>43365.96</v>
      </c>
      <c r="E28" s="11">
        <f t="shared" si="7"/>
        <v>435.89453609902552</v>
      </c>
      <c r="F28" s="4">
        <f>IF(E28="","",SUM($E$25:E28))</f>
        <v>942.28250899893555</v>
      </c>
      <c r="G28" s="4">
        <f>'Rigidezza-glob'!Q18</f>
        <v>506.00580000792934</v>
      </c>
      <c r="H28" s="2">
        <f t="shared" si="12"/>
        <v>1.8621970518602149</v>
      </c>
      <c r="I28" s="2">
        <f>IF(H28="","",SUM(H28:$H$31))</f>
        <v>10.255112763238641</v>
      </c>
      <c r="J28" s="4">
        <f t="shared" si="8"/>
        <v>334.89296636085629</v>
      </c>
      <c r="K28" s="11">
        <f t="shared" si="9"/>
        <v>35.219801715675551</v>
      </c>
      <c r="L28" s="52">
        <f t="shared" si="10"/>
        <v>4470.1476205751032</v>
      </c>
    </row>
    <row r="29" spans="1:16">
      <c r="A29" s="1">
        <v>3</v>
      </c>
      <c r="B29" s="10">
        <f>B14</f>
        <v>3285.3</v>
      </c>
      <c r="C29" s="2">
        <f>C30+3.2</f>
        <v>10</v>
      </c>
      <c r="D29" s="10">
        <f t="shared" si="11"/>
        <v>32853</v>
      </c>
      <c r="E29" s="11">
        <f t="shared" si="7"/>
        <v>330.22313340835268</v>
      </c>
      <c r="F29" s="4">
        <f>IF(E29="","",SUM($E$25:E29))</f>
        <v>1272.5056424072882</v>
      </c>
      <c r="G29" s="4">
        <f>G28</f>
        <v>506.00580000792934</v>
      </c>
      <c r="H29" s="2">
        <f t="shared" si="12"/>
        <v>2.5148044595286208</v>
      </c>
      <c r="I29" s="2">
        <f>IF(H29="","",SUM(H29:$H$31))</f>
        <v>8.3929157113784267</v>
      </c>
      <c r="J29" s="4">
        <f t="shared" si="8"/>
        <v>334.89296636085629</v>
      </c>
      <c r="K29" s="11">
        <f t="shared" si="9"/>
        <v>23.590206876102584</v>
      </c>
      <c r="L29" s="52">
        <f t="shared" si="10"/>
        <v>2771.5349246435776</v>
      </c>
    </row>
    <row r="30" spans="1:16">
      <c r="A30" s="1">
        <v>2</v>
      </c>
      <c r="B30" s="10">
        <f>B15</f>
        <v>3285.3</v>
      </c>
      <c r="C30" s="2">
        <f>C31+3.2</f>
        <v>6.8000000000000007</v>
      </c>
      <c r="D30" s="10">
        <f t="shared" si="11"/>
        <v>22340.040000000005</v>
      </c>
      <c r="E30" s="11">
        <f t="shared" si="7"/>
        <v>224.55173071767987</v>
      </c>
      <c r="F30" s="4">
        <f>IF(E30="","",SUM($E$25:E30))</f>
        <v>1497.0573731249681</v>
      </c>
      <c r="G30" s="4">
        <f>G29</f>
        <v>506.00580000792934</v>
      </c>
      <c r="H30" s="2">
        <f t="shared" si="12"/>
        <v>2.9585774967431373</v>
      </c>
      <c r="I30" s="2">
        <f>IF(H30="","",SUM(H30:$H$31))</f>
        <v>5.8781112518498055</v>
      </c>
      <c r="J30" s="4">
        <f t="shared" si="8"/>
        <v>334.89296636085629</v>
      </c>
      <c r="K30" s="11">
        <f t="shared" si="9"/>
        <v>11.571286036018016</v>
      </c>
      <c r="L30" s="52">
        <f t="shared" si="10"/>
        <v>1319.9400549539416</v>
      </c>
    </row>
    <row r="31" spans="1:16">
      <c r="A31" s="1">
        <v>1</v>
      </c>
      <c r="B31" s="10">
        <f>B16</f>
        <v>2915.6</v>
      </c>
      <c r="C31" s="2">
        <v>3.6</v>
      </c>
      <c r="D31" s="10">
        <f t="shared" si="11"/>
        <v>10496.16</v>
      </c>
      <c r="E31" s="11">
        <f>IF(B31="","",$J$7*D31/$D$32)</f>
        <v>105.50253687503165</v>
      </c>
      <c r="F31" s="4">
        <f>IF(E31="","",SUM($E$25:E31))</f>
        <v>1602.5599099999997</v>
      </c>
      <c r="G31" s="4">
        <f>'Rigidezza-glob'!Q28</f>
        <v>548.90953296802991</v>
      </c>
      <c r="H31" s="2">
        <f t="shared" si="12"/>
        <v>2.9195337551066678</v>
      </c>
      <c r="I31" s="2">
        <f>IF(H31="","",SUM(H$31:$H31))</f>
        <v>2.9195337551066678</v>
      </c>
      <c r="J31" s="4">
        <f>IF(B31="","",B31/9.81)</f>
        <v>297.20693170234455</v>
      </c>
      <c r="K31" s="11">
        <f>IF(I31="","",J31*I31^2/1000)</f>
        <v>2.5332959911842434</v>
      </c>
      <c r="L31" s="52">
        <f>IF(I31="","",E31*I31)</f>
        <v>308.01821765604086</v>
      </c>
    </row>
    <row r="32" spans="1:16">
      <c r="A32" s="1" t="s">
        <v>35</v>
      </c>
      <c r="B32" s="29">
        <f>SUM(B25:B31)</f>
        <v>15843.4</v>
      </c>
      <c r="C32" s="1"/>
      <c r="D32" s="29">
        <f>SUM(D25:D31)</f>
        <v>159434.32</v>
      </c>
      <c r="E32" s="30">
        <f>SUM(E25:E31)</f>
        <v>1602.5599099999997</v>
      </c>
      <c r="F32" s="1"/>
      <c r="K32" s="30">
        <f>SUM(K25:K31)</f>
        <v>114.23403706927144</v>
      </c>
      <c r="L32" s="29">
        <f>SUM(L25:L31)</f>
        <v>14686.54079913299</v>
      </c>
      <c r="N32" s="53" t="s">
        <v>17</v>
      </c>
      <c r="O32" s="54">
        <f>2*PI()*SQRT(K32/L32)</f>
        <v>0.55413792342574608</v>
      </c>
      <c r="P32" s="55" t="s">
        <v>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37"/>
  <sheetViews>
    <sheetView workbookViewId="0">
      <selection activeCell="A2" sqref="A2"/>
    </sheetView>
  </sheetViews>
  <sheetFormatPr defaultColWidth="9" defaultRowHeight="15"/>
  <cols>
    <col min="1" max="16384" width="9" style="1"/>
  </cols>
  <sheetData>
    <row r="1" spans="1:16" ht="15.75">
      <c r="A1" s="5" t="s">
        <v>12</v>
      </c>
      <c r="J1" s="3" t="s">
        <v>13</v>
      </c>
    </row>
    <row r="2" spans="1:16">
      <c r="B2" s="1" t="s">
        <v>1</v>
      </c>
      <c r="C2" s="1" t="s">
        <v>1</v>
      </c>
      <c r="D2" s="1" t="s">
        <v>3</v>
      </c>
      <c r="E2" s="1" t="s">
        <v>3</v>
      </c>
      <c r="F2" s="1" t="s">
        <v>3</v>
      </c>
      <c r="G2" s="1" t="s">
        <v>3</v>
      </c>
      <c r="K2" s="1" t="s">
        <v>1</v>
      </c>
      <c r="L2" s="1" t="s">
        <v>1</v>
      </c>
      <c r="M2" s="1" t="s">
        <v>3</v>
      </c>
      <c r="N2" s="1" t="s">
        <v>3</v>
      </c>
      <c r="O2" s="1" t="s">
        <v>3</v>
      </c>
      <c r="P2" s="1" t="s">
        <v>3</v>
      </c>
    </row>
    <row r="3" spans="1:16">
      <c r="A3" s="1" t="s">
        <v>0</v>
      </c>
      <c r="B3" s="1" t="s">
        <v>2</v>
      </c>
      <c r="C3" s="1" t="s">
        <v>4</v>
      </c>
      <c r="D3" s="1" t="s">
        <v>2</v>
      </c>
      <c r="E3" s="1" t="s">
        <v>4</v>
      </c>
      <c r="F3" s="1" t="s">
        <v>5</v>
      </c>
      <c r="G3" s="1" t="s">
        <v>6</v>
      </c>
      <c r="J3" s="1" t="s">
        <v>0</v>
      </c>
      <c r="K3" s="1" t="s">
        <v>2</v>
      </c>
      <c r="L3" s="1" t="s">
        <v>4</v>
      </c>
      <c r="M3" s="1" t="s">
        <v>2</v>
      </c>
      <c r="N3" s="1" t="s">
        <v>4</v>
      </c>
      <c r="O3" s="1" t="s">
        <v>5</v>
      </c>
      <c r="P3" s="1" t="s">
        <v>6</v>
      </c>
    </row>
    <row r="4" spans="1:16">
      <c r="A4" s="1">
        <v>7</v>
      </c>
      <c r="J4" s="1">
        <v>7</v>
      </c>
    </row>
    <row r="5" spans="1:16">
      <c r="A5" s="1">
        <v>6</v>
      </c>
      <c r="J5" s="1">
        <v>6</v>
      </c>
    </row>
    <row r="6" spans="1:16">
      <c r="A6" s="1">
        <v>5</v>
      </c>
      <c r="B6" s="2">
        <v>27.355600991212668</v>
      </c>
      <c r="C6" s="2">
        <v>16.040421230233967</v>
      </c>
      <c r="D6" s="2">
        <v>12.175284404506801</v>
      </c>
      <c r="E6" s="2">
        <v>9.190247084404719</v>
      </c>
      <c r="F6" s="2">
        <v>3.8674145928029349</v>
      </c>
      <c r="G6" s="2">
        <v>2.1640269376919079</v>
      </c>
      <c r="J6" s="1">
        <v>5</v>
      </c>
      <c r="K6" s="2">
        <f>B6/$B6</f>
        <v>1</v>
      </c>
      <c r="L6" s="2">
        <f t="shared" ref="L6:P6" si="0">C6/$B6</f>
        <v>0.58636698332405746</v>
      </c>
      <c r="M6" s="2">
        <f t="shared" si="0"/>
        <v>0.44507464516746753</v>
      </c>
      <c r="N6" s="2">
        <f t="shared" si="0"/>
        <v>0.33595485938535463</v>
      </c>
      <c r="O6" s="2">
        <f t="shared" si="0"/>
        <v>0.14137560326476648</v>
      </c>
      <c r="P6" s="2">
        <f t="shared" si="0"/>
        <v>7.9107270879811772E-2</v>
      </c>
    </row>
    <row r="7" spans="1:16">
      <c r="A7" s="1">
        <v>4</v>
      </c>
      <c r="B7" s="2">
        <v>33.138923304817752</v>
      </c>
      <c r="C7" s="2">
        <v>19.903419469754304</v>
      </c>
      <c r="D7" s="2">
        <v>13.314423306297705</v>
      </c>
      <c r="E7" s="2">
        <v>10.507165380271084</v>
      </c>
      <c r="F7" s="2">
        <v>3.8674145928029349</v>
      </c>
      <c r="G7" s="2">
        <v>2.1640269376919079</v>
      </c>
      <c r="J7" s="1">
        <v>4</v>
      </c>
      <c r="K7" s="2">
        <f t="shared" ref="K7:K10" si="1">B7/$B7</f>
        <v>1</v>
      </c>
      <c r="L7" s="2">
        <f t="shared" ref="L7:L10" si="2">C7/$B7</f>
        <v>0.60060549604098745</v>
      </c>
      <c r="M7" s="2">
        <f t="shared" ref="M7:M10" si="3">D7/$B7</f>
        <v>0.40177597756659911</v>
      </c>
      <c r="N7" s="2">
        <f t="shared" ref="N7:N10" si="4">E7/$B7</f>
        <v>0.31706417506761747</v>
      </c>
      <c r="O7" s="2">
        <f t="shared" ref="O7:O10" si="5">F7/$B7</f>
        <v>0.11670308528825039</v>
      </c>
      <c r="P7" s="2">
        <f t="shared" ref="P7:P10" si="6">G7/$B7</f>
        <v>6.5301667099645952E-2</v>
      </c>
    </row>
    <row r="8" spans="1:16">
      <c r="A8" s="1">
        <v>3</v>
      </c>
      <c r="B8" s="2">
        <v>33.138923304817752</v>
      </c>
      <c r="C8" s="2">
        <v>19.903419469754304</v>
      </c>
      <c r="D8" s="2">
        <v>13.314423306297705</v>
      </c>
      <c r="E8" s="2">
        <v>10.507165380271084</v>
      </c>
      <c r="F8" s="2">
        <v>3.8674145928029349</v>
      </c>
      <c r="G8" s="2">
        <v>2.1640269376919079</v>
      </c>
      <c r="J8" s="1">
        <v>3</v>
      </c>
      <c r="K8" s="2">
        <f t="shared" si="1"/>
        <v>1</v>
      </c>
      <c r="L8" s="2">
        <f t="shared" si="2"/>
        <v>0.60060549604098745</v>
      </c>
      <c r="M8" s="2">
        <f t="shared" si="3"/>
        <v>0.40177597756659911</v>
      </c>
      <c r="N8" s="2">
        <f t="shared" si="4"/>
        <v>0.31706417506761747</v>
      </c>
      <c r="O8" s="2">
        <f t="shared" si="5"/>
        <v>0.11670308528825039</v>
      </c>
      <c r="P8" s="2">
        <f t="shared" si="6"/>
        <v>6.5301667099645952E-2</v>
      </c>
    </row>
    <row r="9" spans="1:16">
      <c r="A9" s="1">
        <v>2</v>
      </c>
      <c r="B9" s="2">
        <v>33.138923304817752</v>
      </c>
      <c r="C9" s="2">
        <v>19.903419469754304</v>
      </c>
      <c r="D9" s="2">
        <v>13.314423306297705</v>
      </c>
      <c r="E9" s="2">
        <v>10.507165380271084</v>
      </c>
      <c r="F9" s="2">
        <v>3.8674145928029349</v>
      </c>
      <c r="G9" s="2">
        <v>2.1640269376919079</v>
      </c>
      <c r="J9" s="1">
        <v>2</v>
      </c>
      <c r="K9" s="2">
        <f t="shared" si="1"/>
        <v>1</v>
      </c>
      <c r="L9" s="2">
        <f t="shared" si="2"/>
        <v>0.60060549604098745</v>
      </c>
      <c r="M9" s="2">
        <f t="shared" si="3"/>
        <v>0.40177597756659911</v>
      </c>
      <c r="N9" s="2">
        <f t="shared" si="4"/>
        <v>0.31706417506761747</v>
      </c>
      <c r="O9" s="2">
        <f t="shared" si="5"/>
        <v>0.11670308528825039</v>
      </c>
      <c r="P9" s="2">
        <f t="shared" si="6"/>
        <v>6.5301667099645952E-2</v>
      </c>
    </row>
    <row r="10" spans="1:16">
      <c r="A10" s="1">
        <v>1</v>
      </c>
      <c r="B10" s="2">
        <v>41.310715101230294</v>
      </c>
      <c r="C10" s="2">
        <v>32.91031312037795</v>
      </c>
      <c r="D10" s="2">
        <v>11.060107339255499</v>
      </c>
      <c r="E10" s="2">
        <v>9.8728223778735629</v>
      </c>
      <c r="F10" s="2">
        <v>6.1889472815140341</v>
      </c>
      <c r="G10" s="2">
        <v>4.9680903860171535</v>
      </c>
      <c r="J10" s="1">
        <v>1</v>
      </c>
      <c r="K10" s="2">
        <f t="shared" si="1"/>
        <v>1</v>
      </c>
      <c r="L10" s="2">
        <f t="shared" si="2"/>
        <v>0.79665319372304533</v>
      </c>
      <c r="M10" s="2">
        <f t="shared" si="3"/>
        <v>0.26772974789114973</v>
      </c>
      <c r="N10" s="2">
        <f t="shared" si="4"/>
        <v>0.23898938456234894</v>
      </c>
      <c r="O10" s="2">
        <f t="shared" si="5"/>
        <v>0.14981457634776499</v>
      </c>
      <c r="P10" s="2">
        <f t="shared" si="6"/>
        <v>0.12026154410164631</v>
      </c>
    </row>
    <row r="12" spans="1:16">
      <c r="A12" s="3" t="s">
        <v>7</v>
      </c>
    </row>
    <row r="13" spans="1:16">
      <c r="B13" s="1" t="s">
        <v>2</v>
      </c>
      <c r="C13" s="1" t="s">
        <v>4</v>
      </c>
      <c r="D13" s="1" t="s">
        <v>2</v>
      </c>
      <c r="E13" s="1" t="s">
        <v>4</v>
      </c>
      <c r="F13" s="1" t="s">
        <v>5</v>
      </c>
      <c r="G13" s="1" t="s">
        <v>6</v>
      </c>
    </row>
    <row r="14" spans="1:16">
      <c r="A14" s="1" t="s">
        <v>8</v>
      </c>
      <c r="B14" s="1">
        <v>10</v>
      </c>
      <c r="C14" s="1">
        <v>3</v>
      </c>
      <c r="D14" s="1">
        <v>1</v>
      </c>
      <c r="E14" s="1">
        <v>5</v>
      </c>
      <c r="F14" s="1">
        <v>4</v>
      </c>
      <c r="G14" s="1">
        <v>4</v>
      </c>
    </row>
    <row r="16" spans="1:16">
      <c r="A16" s="1" t="s">
        <v>0</v>
      </c>
      <c r="B16" s="1" t="s">
        <v>9</v>
      </c>
      <c r="C16" s="1" t="s">
        <v>9</v>
      </c>
      <c r="D16" s="1" t="s">
        <v>9</v>
      </c>
      <c r="E16" s="1" t="s">
        <v>9</v>
      </c>
      <c r="F16" s="1" t="s">
        <v>9</v>
      </c>
      <c r="G16" s="1" t="s">
        <v>9</v>
      </c>
      <c r="H16" s="1" t="s">
        <v>10</v>
      </c>
      <c r="I16" s="26" t="s">
        <v>66</v>
      </c>
      <c r="J16" s="1" t="s">
        <v>57</v>
      </c>
    </row>
    <row r="17" spans="1:10">
      <c r="A17" s="1">
        <v>7</v>
      </c>
      <c r="I17" s="26"/>
    </row>
    <row r="18" spans="1:10">
      <c r="A18" s="1">
        <v>6</v>
      </c>
      <c r="I18" s="26"/>
    </row>
    <row r="19" spans="1:10">
      <c r="A19" s="1">
        <v>5</v>
      </c>
      <c r="B19" s="4">
        <f t="shared" ref="B19:G23" si="7">B6*B$14</f>
        <v>273.55600991212668</v>
      </c>
      <c r="C19" s="4">
        <f t="shared" si="7"/>
        <v>48.121263690701902</v>
      </c>
      <c r="D19" s="4">
        <f t="shared" si="7"/>
        <v>12.175284404506801</v>
      </c>
      <c r="E19" s="4">
        <f t="shared" si="7"/>
        <v>45.951235422023593</v>
      </c>
      <c r="F19" s="4">
        <f t="shared" si="7"/>
        <v>15.469658371211739</v>
      </c>
      <c r="G19" s="4">
        <f t="shared" si="7"/>
        <v>8.6561077507676316</v>
      </c>
      <c r="H19" s="4">
        <f>SUM(B19:G19)</f>
        <v>403.92955955133834</v>
      </c>
      <c r="J19" s="2">
        <f>H19/B6</f>
        <v>14.765881388644726</v>
      </c>
    </row>
    <row r="20" spans="1:10">
      <c r="A20" s="1">
        <v>4</v>
      </c>
      <c r="B20" s="4">
        <f t="shared" si="7"/>
        <v>331.38923304817752</v>
      </c>
      <c r="C20" s="4">
        <f t="shared" si="7"/>
        <v>59.710258409262913</v>
      </c>
      <c r="D20" s="4">
        <f t="shared" si="7"/>
        <v>13.314423306297705</v>
      </c>
      <c r="E20" s="4">
        <f t="shared" si="7"/>
        <v>52.535826901355421</v>
      </c>
      <c r="F20" s="4">
        <f t="shared" si="7"/>
        <v>15.469658371211739</v>
      </c>
      <c r="G20" s="4">
        <f t="shared" si="7"/>
        <v>8.6561077507676316</v>
      </c>
      <c r="H20" s="4">
        <f t="shared" ref="H20:H23" si="8">SUM(B20:G20)</f>
        <v>481.07550778707298</v>
      </c>
      <c r="I20" s="7">
        <f t="shared" ref="I20:I22" si="9">H20/H19</f>
        <v>1.1909886177219213</v>
      </c>
      <c r="J20" s="2">
        <f>H20/B7</f>
        <v>14.516932350579236</v>
      </c>
    </row>
    <row r="21" spans="1:10">
      <c r="A21" s="1">
        <v>3</v>
      </c>
      <c r="B21" s="4">
        <f t="shared" si="7"/>
        <v>331.38923304817752</v>
      </c>
      <c r="C21" s="4">
        <f t="shared" si="7"/>
        <v>59.710258409262913</v>
      </c>
      <c r="D21" s="4">
        <f t="shared" si="7"/>
        <v>13.314423306297705</v>
      </c>
      <c r="E21" s="4">
        <f t="shared" si="7"/>
        <v>52.535826901355421</v>
      </c>
      <c r="F21" s="4">
        <f t="shared" si="7"/>
        <v>15.469658371211739</v>
      </c>
      <c r="G21" s="4">
        <f t="shared" si="7"/>
        <v>8.6561077507676316</v>
      </c>
      <c r="H21" s="4">
        <f t="shared" si="8"/>
        <v>481.07550778707298</v>
      </c>
      <c r="I21" s="7">
        <f t="shared" si="9"/>
        <v>1</v>
      </c>
      <c r="J21" s="2">
        <f>H21/B8</f>
        <v>14.516932350579236</v>
      </c>
    </row>
    <row r="22" spans="1:10">
      <c r="A22" s="1">
        <v>2</v>
      </c>
      <c r="B22" s="4">
        <f t="shared" si="7"/>
        <v>331.38923304817752</v>
      </c>
      <c r="C22" s="4">
        <f t="shared" si="7"/>
        <v>59.710258409262913</v>
      </c>
      <c r="D22" s="4">
        <f t="shared" si="7"/>
        <v>13.314423306297705</v>
      </c>
      <c r="E22" s="4">
        <f t="shared" si="7"/>
        <v>52.535826901355421</v>
      </c>
      <c r="F22" s="4">
        <f t="shared" si="7"/>
        <v>15.469658371211739</v>
      </c>
      <c r="G22" s="4">
        <f t="shared" si="7"/>
        <v>8.6561077507676316</v>
      </c>
      <c r="H22" s="4">
        <f t="shared" si="8"/>
        <v>481.07550778707298</v>
      </c>
      <c r="I22" s="7">
        <f t="shared" si="9"/>
        <v>1</v>
      </c>
      <c r="J22" s="2">
        <f>H22/B9</f>
        <v>14.516932350579236</v>
      </c>
    </row>
    <row r="23" spans="1:10">
      <c r="A23" s="1">
        <v>1</v>
      </c>
      <c r="B23" s="4">
        <f t="shared" si="7"/>
        <v>413.10715101230295</v>
      </c>
      <c r="C23" s="4">
        <f t="shared" si="7"/>
        <v>98.730939361133849</v>
      </c>
      <c r="D23" s="4">
        <f t="shared" si="7"/>
        <v>11.060107339255499</v>
      </c>
      <c r="E23" s="4">
        <f t="shared" si="7"/>
        <v>49.364111889367813</v>
      </c>
      <c r="F23" s="4">
        <f t="shared" si="7"/>
        <v>24.755789126056136</v>
      </c>
      <c r="G23" s="4">
        <f t="shared" si="7"/>
        <v>19.872361544068614</v>
      </c>
      <c r="H23" s="4">
        <f t="shared" si="8"/>
        <v>616.8904602721849</v>
      </c>
      <c r="I23" s="7">
        <f>H23/H22</f>
        <v>1.2823152504891695</v>
      </c>
      <c r="J23" s="2">
        <f>H23/B10</f>
        <v>14.932940733669676</v>
      </c>
    </row>
    <row r="25" spans="1:10">
      <c r="A25" s="3" t="s">
        <v>11</v>
      </c>
    </row>
    <row r="26" spans="1:10">
      <c r="B26" s="1" t="s">
        <v>1</v>
      </c>
      <c r="C26" s="1" t="s">
        <v>1</v>
      </c>
      <c r="D26" s="1" t="s">
        <v>3</v>
      </c>
      <c r="E26" s="1" t="s">
        <v>3</v>
      </c>
      <c r="F26" s="1" t="s">
        <v>3</v>
      </c>
      <c r="G26" s="1" t="s">
        <v>3</v>
      </c>
    </row>
    <row r="27" spans="1:10">
      <c r="B27" s="1" t="s">
        <v>2</v>
      </c>
      <c r="C27" s="1" t="s">
        <v>4</v>
      </c>
      <c r="D27" s="1" t="s">
        <v>2</v>
      </c>
      <c r="E27" s="1" t="s">
        <v>4</v>
      </c>
      <c r="F27" s="1" t="s">
        <v>5</v>
      </c>
      <c r="G27" s="1" t="s">
        <v>6</v>
      </c>
    </row>
    <row r="28" spans="1:10">
      <c r="A28" s="1" t="s">
        <v>8</v>
      </c>
      <c r="B28" s="1">
        <v>11</v>
      </c>
      <c r="C28" s="1">
        <v>3</v>
      </c>
      <c r="D28" s="1">
        <v>0</v>
      </c>
      <c r="E28" s="1">
        <v>7</v>
      </c>
      <c r="F28" s="1">
        <v>2</v>
      </c>
      <c r="G28" s="1">
        <v>4</v>
      </c>
    </row>
    <row r="30" spans="1:10">
      <c r="A30" s="1" t="s">
        <v>0</v>
      </c>
      <c r="B30" s="1" t="s">
        <v>9</v>
      </c>
      <c r="C30" s="1" t="s">
        <v>9</v>
      </c>
      <c r="D30" s="1" t="s">
        <v>9</v>
      </c>
      <c r="E30" s="1" t="s">
        <v>9</v>
      </c>
      <c r="F30" s="1" t="s">
        <v>9</v>
      </c>
      <c r="G30" s="1" t="s">
        <v>9</v>
      </c>
      <c r="H30" s="1" t="s">
        <v>10</v>
      </c>
      <c r="I30" s="26" t="s">
        <v>66</v>
      </c>
      <c r="J30" s="1" t="s">
        <v>57</v>
      </c>
    </row>
    <row r="31" spans="1:10">
      <c r="A31" s="1">
        <v>7</v>
      </c>
      <c r="I31" s="26"/>
    </row>
    <row r="32" spans="1:10">
      <c r="A32" s="1">
        <v>6</v>
      </c>
      <c r="I32" s="26"/>
    </row>
    <row r="33" spans="1:10">
      <c r="A33" s="1">
        <v>5</v>
      </c>
      <c r="B33" s="4">
        <f t="shared" ref="B33:G37" si="10">B6*B$28</f>
        <v>300.91161090333935</v>
      </c>
      <c r="C33" s="4">
        <f t="shared" si="10"/>
        <v>48.121263690701902</v>
      </c>
      <c r="D33" s="4">
        <f t="shared" si="10"/>
        <v>0</v>
      </c>
      <c r="E33" s="4">
        <f t="shared" si="10"/>
        <v>64.331729590833035</v>
      </c>
      <c r="F33" s="4">
        <f t="shared" si="10"/>
        <v>7.7348291856058697</v>
      </c>
      <c r="G33" s="4">
        <f t="shared" si="10"/>
        <v>8.6561077507676316</v>
      </c>
      <c r="H33" s="4">
        <f>SUM(B33:G33)</f>
        <v>429.7555411212478</v>
      </c>
      <c r="J33" s="2">
        <f>H33/B6</f>
        <v>15.709965255718435</v>
      </c>
    </row>
    <row r="34" spans="1:10">
      <c r="A34" s="1">
        <v>4</v>
      </c>
      <c r="B34" s="4">
        <f t="shared" si="10"/>
        <v>364.52815635299527</v>
      </c>
      <c r="C34" s="4">
        <f t="shared" si="10"/>
        <v>59.710258409262913</v>
      </c>
      <c r="D34" s="4">
        <f t="shared" si="10"/>
        <v>0</v>
      </c>
      <c r="E34" s="4">
        <f t="shared" si="10"/>
        <v>73.550157661897586</v>
      </c>
      <c r="F34" s="4">
        <f t="shared" si="10"/>
        <v>7.7348291856058697</v>
      </c>
      <c r="G34" s="4">
        <f t="shared" si="10"/>
        <v>8.6561077507676316</v>
      </c>
      <c r="H34" s="4">
        <f t="shared" ref="H34:H37" si="11">SUM(B34:G34)</f>
        <v>514.17950936052921</v>
      </c>
      <c r="I34" s="7">
        <f t="shared" ref="I34:I36" si="12">H34/H33</f>
        <v>1.1964464914612065</v>
      </c>
      <c r="J34" s="2">
        <f>H34/B7</f>
        <v>15.515878552571367</v>
      </c>
    </row>
    <row r="35" spans="1:10">
      <c r="A35" s="1">
        <v>3</v>
      </c>
      <c r="B35" s="4">
        <f t="shared" si="10"/>
        <v>364.52815635299527</v>
      </c>
      <c r="C35" s="4">
        <f t="shared" si="10"/>
        <v>59.710258409262913</v>
      </c>
      <c r="D35" s="4">
        <f t="shared" si="10"/>
        <v>0</v>
      </c>
      <c r="E35" s="4">
        <f t="shared" si="10"/>
        <v>73.550157661897586</v>
      </c>
      <c r="F35" s="4">
        <f t="shared" si="10"/>
        <v>7.7348291856058697</v>
      </c>
      <c r="G35" s="4">
        <f t="shared" si="10"/>
        <v>8.6561077507676316</v>
      </c>
      <c r="H35" s="4">
        <f t="shared" si="11"/>
        <v>514.17950936052921</v>
      </c>
      <c r="I35" s="7">
        <f t="shared" si="12"/>
        <v>1</v>
      </c>
      <c r="J35" s="2">
        <f>H35/B8</f>
        <v>15.515878552571367</v>
      </c>
    </row>
    <row r="36" spans="1:10">
      <c r="A36" s="1">
        <v>2</v>
      </c>
      <c r="B36" s="4">
        <f t="shared" si="10"/>
        <v>364.52815635299527</v>
      </c>
      <c r="C36" s="4">
        <f t="shared" si="10"/>
        <v>59.710258409262913</v>
      </c>
      <c r="D36" s="4">
        <f t="shared" si="10"/>
        <v>0</v>
      </c>
      <c r="E36" s="4">
        <f t="shared" si="10"/>
        <v>73.550157661897586</v>
      </c>
      <c r="F36" s="4">
        <f t="shared" si="10"/>
        <v>7.7348291856058697</v>
      </c>
      <c r="G36" s="4">
        <f t="shared" si="10"/>
        <v>8.6561077507676316</v>
      </c>
      <c r="H36" s="4">
        <f t="shared" si="11"/>
        <v>514.17950936052921</v>
      </c>
      <c r="I36" s="7">
        <f t="shared" si="12"/>
        <v>1</v>
      </c>
      <c r="J36" s="2">
        <f>H36/B9</f>
        <v>15.515878552571367</v>
      </c>
    </row>
    <row r="37" spans="1:10">
      <c r="A37" s="1">
        <v>1</v>
      </c>
      <c r="B37" s="4">
        <f t="shared" si="10"/>
        <v>454.41786611353325</v>
      </c>
      <c r="C37" s="4">
        <f t="shared" si="10"/>
        <v>98.730939361133849</v>
      </c>
      <c r="D37" s="4">
        <f t="shared" si="10"/>
        <v>0</v>
      </c>
      <c r="E37" s="4">
        <f t="shared" si="10"/>
        <v>69.109756645114942</v>
      </c>
      <c r="F37" s="4">
        <f t="shared" si="10"/>
        <v>12.377894563028068</v>
      </c>
      <c r="G37" s="4">
        <f t="shared" si="10"/>
        <v>19.872361544068614</v>
      </c>
      <c r="H37" s="4">
        <f t="shared" si="11"/>
        <v>654.50881822687882</v>
      </c>
      <c r="I37" s="7">
        <f>H37/H36</f>
        <v>1.2729189053855399</v>
      </c>
      <c r="J37" s="2">
        <f>H37/B10</f>
        <v>15.843560602207697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32"/>
  <sheetViews>
    <sheetView workbookViewId="0">
      <selection activeCell="A2" sqref="A2"/>
    </sheetView>
  </sheetViews>
  <sheetFormatPr defaultRowHeight="15"/>
  <sheetData>
    <row r="1" spans="1:12" ht="15.75">
      <c r="A1" s="5" t="s">
        <v>14</v>
      </c>
    </row>
    <row r="3" spans="1:12">
      <c r="A3" t="s">
        <v>36</v>
      </c>
      <c r="E3" s="6" t="s">
        <v>15</v>
      </c>
      <c r="F3" s="7">
        <f>ROUND(O17,3)</f>
        <v>0.55300000000000005</v>
      </c>
      <c r="G3" s="8" t="s">
        <v>16</v>
      </c>
      <c r="H3" s="6" t="s">
        <v>17</v>
      </c>
      <c r="I3" s="7">
        <f>ROUND(O32,3)</f>
        <v>0.53600000000000003</v>
      </c>
      <c r="J3" s="8" t="s">
        <v>16</v>
      </c>
    </row>
    <row r="4" spans="1:12">
      <c r="E4" s="7"/>
      <c r="F4" s="7"/>
    </row>
    <row r="5" spans="1:12">
      <c r="A5" s="9" t="s">
        <v>7</v>
      </c>
    </row>
    <row r="7" spans="1:12">
      <c r="A7" s="9" t="s">
        <v>18</v>
      </c>
      <c r="D7" s="1" t="s">
        <v>19</v>
      </c>
      <c r="E7" s="7">
        <v>0.13200000000000001</v>
      </c>
      <c r="F7" t="s">
        <v>20</v>
      </c>
      <c r="I7" s="1" t="s">
        <v>21</v>
      </c>
      <c r="J7" s="4">
        <f>E7*B17*0.85</f>
        <v>1777.6294800000001</v>
      </c>
    </row>
    <row r="9" spans="1:12">
      <c r="A9" s="1" t="s">
        <v>22</v>
      </c>
      <c r="B9" s="1" t="s">
        <v>23</v>
      </c>
      <c r="C9" s="1" t="s">
        <v>24</v>
      </c>
      <c r="D9" s="1" t="s">
        <v>25</v>
      </c>
      <c r="E9" s="1" t="s">
        <v>26</v>
      </c>
      <c r="F9" s="1" t="s">
        <v>27</v>
      </c>
      <c r="G9" t="s">
        <v>28</v>
      </c>
      <c r="H9" s="1" t="s">
        <v>29</v>
      </c>
      <c r="I9" s="1" t="s">
        <v>30</v>
      </c>
      <c r="J9" s="1" t="s">
        <v>31</v>
      </c>
      <c r="K9" s="1" t="s">
        <v>32</v>
      </c>
      <c r="L9" s="1" t="s">
        <v>33</v>
      </c>
    </row>
    <row r="10" spans="1:12">
      <c r="A10" s="1">
        <v>7</v>
      </c>
      <c r="B10" s="1"/>
      <c r="C10" s="1"/>
      <c r="D10" s="10" t="str">
        <f>IF(B10="","",B10*C10)</f>
        <v/>
      </c>
      <c r="E10" s="11" t="str">
        <f>IF(B10="","",$J$7*D10/$D$17)</f>
        <v/>
      </c>
      <c r="F10" s="4" t="str">
        <f>E10</f>
        <v/>
      </c>
      <c r="G10" s="4"/>
      <c r="H10" s="2" t="str">
        <f>IF(G10="","",F10/G10)</f>
        <v/>
      </c>
      <c r="I10" s="2" t="str">
        <f>IF(H10="","",SUM(H10:$H$16))</f>
        <v/>
      </c>
      <c r="J10" s="4" t="str">
        <f t="shared" ref="J10:J15" si="0">IF(B10="","",B10/9.81)</f>
        <v/>
      </c>
      <c r="K10" s="11" t="str">
        <f t="shared" ref="K10:K15" si="1">IF(I10="","",J10*I10^2/1000)</f>
        <v/>
      </c>
      <c r="L10" s="52" t="str">
        <f t="shared" ref="L10:L15" si="2">IF(I10="","",E10*I10)</f>
        <v/>
      </c>
    </row>
    <row r="11" spans="1:12">
      <c r="A11" s="1">
        <v>6</v>
      </c>
      <c r="B11" s="1"/>
      <c r="C11" s="1"/>
      <c r="D11" s="10" t="str">
        <f t="shared" ref="D11:D16" si="3">IF(B11="","",B11*C11)</f>
        <v/>
      </c>
      <c r="E11" s="11" t="str">
        <f t="shared" ref="E11:E16" si="4">IF(B11="","",$J$7*D11/$D$17)</f>
        <v/>
      </c>
      <c r="F11" s="4" t="str">
        <f>IF(E11="","",SUM($E$10:E11))</f>
        <v/>
      </c>
      <c r="G11" s="4"/>
      <c r="H11" s="2" t="str">
        <f t="shared" ref="H11:H16" si="5">IF(G11="","",F11/G11)</f>
        <v/>
      </c>
      <c r="I11" s="2" t="str">
        <f>IF(H11="","",SUM(H11:$H$16))</f>
        <v/>
      </c>
      <c r="J11" s="4" t="str">
        <f t="shared" si="0"/>
        <v/>
      </c>
      <c r="K11" s="11" t="str">
        <f t="shared" si="1"/>
        <v/>
      </c>
      <c r="L11" s="52" t="str">
        <f t="shared" si="2"/>
        <v/>
      </c>
    </row>
    <row r="12" spans="1:12">
      <c r="A12" s="1">
        <v>5</v>
      </c>
      <c r="B12" s="10">
        <f>368.3+2703.6</f>
        <v>3071.9</v>
      </c>
      <c r="C12" s="2">
        <v>16.399999999999999</v>
      </c>
      <c r="D12" s="10">
        <f t="shared" si="3"/>
        <v>50379.159999999996</v>
      </c>
      <c r="E12" s="11">
        <f t="shared" si="4"/>
        <v>561.7076674183877</v>
      </c>
      <c r="F12" s="4">
        <f>IF(E12="","",SUM($E$10:E12))</f>
        <v>561.7076674183877</v>
      </c>
      <c r="G12" s="2">
        <f>Rigidezze!H19</f>
        <v>403.92955955133834</v>
      </c>
      <c r="H12" s="2">
        <f t="shared" si="5"/>
        <v>1.3906079764063324</v>
      </c>
      <c r="I12" s="2">
        <f>IF(H12="","",SUM(H12:$H$16))</f>
        <v>12.830822108570285</v>
      </c>
      <c r="J12" s="4">
        <f t="shared" si="0"/>
        <v>313.13965341488279</v>
      </c>
      <c r="K12" s="11">
        <f t="shared" si="1"/>
        <v>51.552179883426888</v>
      </c>
      <c r="L12" s="52">
        <f t="shared" si="2"/>
        <v>7207.1711576652933</v>
      </c>
    </row>
    <row r="13" spans="1:12">
      <c r="A13" s="1">
        <v>4</v>
      </c>
      <c r="B13" s="10">
        <v>3285.3</v>
      </c>
      <c r="C13" s="2">
        <v>13.2</v>
      </c>
      <c r="D13" s="10">
        <f t="shared" si="3"/>
        <v>43365.96</v>
      </c>
      <c r="E13" s="11">
        <f t="shared" si="4"/>
        <v>483.51326693337296</v>
      </c>
      <c r="F13" s="4">
        <f>IF(E13="","",SUM($E$10:E13))</f>
        <v>1045.2209343517607</v>
      </c>
      <c r="G13" s="2">
        <f>Rigidezze!H20</f>
        <v>481.07550778707298</v>
      </c>
      <c r="H13" s="2">
        <f t="shared" si="5"/>
        <v>2.1726754271065114</v>
      </c>
      <c r="I13" s="2">
        <f>IF(H13="","",SUM(H13:$H$16))</f>
        <v>11.440214132163952</v>
      </c>
      <c r="J13" s="4">
        <f t="shared" si="0"/>
        <v>334.89296636085629</v>
      </c>
      <c r="K13" s="11">
        <f t="shared" si="1"/>
        <v>43.830288893495513</v>
      </c>
      <c r="L13" s="52">
        <f t="shared" si="2"/>
        <v>5531.495309459935</v>
      </c>
    </row>
    <row r="14" spans="1:12">
      <c r="A14" s="1">
        <v>3</v>
      </c>
      <c r="B14" s="10">
        <f>B13</f>
        <v>3285.3</v>
      </c>
      <c r="C14" s="2">
        <v>10</v>
      </c>
      <c r="D14" s="10">
        <f t="shared" si="3"/>
        <v>32853</v>
      </c>
      <c r="E14" s="11">
        <f t="shared" si="4"/>
        <v>366.29792949497948</v>
      </c>
      <c r="F14" s="4">
        <f>IF(E14="","",SUM($E$10:E14))</f>
        <v>1411.5188638467403</v>
      </c>
      <c r="G14" s="2">
        <f>Rigidezze!H21</f>
        <v>481.07550778707298</v>
      </c>
      <c r="H14" s="2">
        <f t="shared" si="5"/>
        <v>2.9340900565478121</v>
      </c>
      <c r="I14" s="2">
        <f>IF(H14="","",SUM(H14:$H$16))</f>
        <v>9.2675387050574436</v>
      </c>
      <c r="J14" s="4">
        <f t="shared" si="0"/>
        <v>334.89296636085629</v>
      </c>
      <c r="K14" s="11">
        <f t="shared" si="1"/>
        <v>28.763043845207299</v>
      </c>
      <c r="L14" s="52">
        <f t="shared" si="2"/>
        <v>3394.6802391771248</v>
      </c>
    </row>
    <row r="15" spans="1:12">
      <c r="A15" s="1">
        <v>2</v>
      </c>
      <c r="B15" s="10">
        <f t="shared" ref="B15" si="6">B14</f>
        <v>3285.3</v>
      </c>
      <c r="C15" s="2">
        <v>6.8000000000000007</v>
      </c>
      <c r="D15" s="10">
        <f t="shared" si="3"/>
        <v>22340.040000000005</v>
      </c>
      <c r="E15" s="11">
        <f t="shared" si="4"/>
        <v>249.08259205658609</v>
      </c>
      <c r="F15" s="4">
        <f>IF(E15="","",SUM($E$10:E15))</f>
        <v>1660.6014559033263</v>
      </c>
      <c r="G15" s="2">
        <f>Rigidezze!H22</f>
        <v>481.07550778707298</v>
      </c>
      <c r="H15" s="2">
        <f t="shared" si="5"/>
        <v>3.451852004567896</v>
      </c>
      <c r="I15" s="2">
        <f>IF(H15="","",SUM(H15:$H$16))</f>
        <v>6.3334486485096306</v>
      </c>
      <c r="J15" s="4">
        <f t="shared" si="0"/>
        <v>334.89296636085629</v>
      </c>
      <c r="K15" s="11">
        <f t="shared" si="1"/>
        <v>13.433418152874957</v>
      </c>
      <c r="L15" s="52">
        <f t="shared" si="2"/>
        <v>1577.5518060280608</v>
      </c>
    </row>
    <row r="16" spans="1:12">
      <c r="A16" s="1">
        <v>1</v>
      </c>
      <c r="B16" s="10">
        <v>2915.6</v>
      </c>
      <c r="C16" s="2">
        <v>3.6</v>
      </c>
      <c r="D16" s="10">
        <f t="shared" si="3"/>
        <v>10496.16</v>
      </c>
      <c r="E16" s="11">
        <f t="shared" si="4"/>
        <v>117.02802409667379</v>
      </c>
      <c r="F16" s="4">
        <f>IF(E16="","",SUM($E$10:E16))</f>
        <v>1777.6294800000001</v>
      </c>
      <c r="G16" s="2">
        <f>Rigidezze!H23</f>
        <v>616.8904602721849</v>
      </c>
      <c r="H16" s="2">
        <f t="shared" si="5"/>
        <v>2.8815966439417346</v>
      </c>
      <c r="I16" s="2">
        <f>IF(H16="","",SUM(H16:$H$16))</f>
        <v>2.8815966439417346</v>
      </c>
      <c r="J16" s="4">
        <f>IF(B16="","",B16/9.81)</f>
        <v>297.20693170234455</v>
      </c>
      <c r="K16" s="11">
        <f>IF(I16="","",J16*I16^2/1000)</f>
        <v>2.4678872457795973</v>
      </c>
      <c r="L16" s="52">
        <f>IF(I16="","",E16*I16)</f>
        <v>337.22756148410764</v>
      </c>
    </row>
    <row r="17" spans="1:16">
      <c r="A17" s="1" t="s">
        <v>35</v>
      </c>
      <c r="B17" s="29">
        <f>SUM(B10:B16)</f>
        <v>15843.4</v>
      </c>
      <c r="C17" s="1"/>
      <c r="D17" s="29">
        <f>SUM(D10:D16)</f>
        <v>159434.32</v>
      </c>
      <c r="E17" s="30">
        <f>SUM(E10:E16)</f>
        <v>1777.6294800000001</v>
      </c>
      <c r="F17" s="1"/>
      <c r="K17" s="30">
        <f>SUM(K10:K16)</f>
        <v>140.04681802078426</v>
      </c>
      <c r="L17" s="29">
        <f>SUM(L10:L16)</f>
        <v>18048.126073814525</v>
      </c>
      <c r="N17" s="53" t="s">
        <v>15</v>
      </c>
      <c r="O17" s="54">
        <f>2*PI()*SQRT(K17/L17)</f>
        <v>0.55347808954912092</v>
      </c>
      <c r="P17" s="55" t="s">
        <v>16</v>
      </c>
    </row>
    <row r="20" spans="1:16">
      <c r="A20" s="9" t="s">
        <v>11</v>
      </c>
    </row>
    <row r="22" spans="1:16">
      <c r="A22" s="9" t="s">
        <v>18</v>
      </c>
      <c r="D22" s="1" t="s">
        <v>19</v>
      </c>
      <c r="E22" s="7">
        <v>0.13619999999999999</v>
      </c>
      <c r="F22" t="s">
        <v>20</v>
      </c>
      <c r="I22" s="1" t="s">
        <v>21</v>
      </c>
      <c r="J22" s="4">
        <f>E22*B32*0.85</f>
        <v>1834.1904179999999</v>
      </c>
    </row>
    <row r="24" spans="1:16">
      <c r="A24" s="1" t="s">
        <v>22</v>
      </c>
      <c r="B24" s="1" t="s">
        <v>23</v>
      </c>
      <c r="C24" s="1" t="s">
        <v>24</v>
      </c>
      <c r="D24" s="1" t="s">
        <v>25</v>
      </c>
      <c r="E24" s="1" t="s">
        <v>26</v>
      </c>
      <c r="F24" s="1" t="s">
        <v>27</v>
      </c>
      <c r="G24" t="s">
        <v>28</v>
      </c>
      <c r="H24" s="1" t="s">
        <v>29</v>
      </c>
      <c r="I24" s="1" t="s">
        <v>30</v>
      </c>
      <c r="J24" s="1" t="s">
        <v>31</v>
      </c>
      <c r="K24" s="1" t="s">
        <v>32</v>
      </c>
      <c r="L24" s="1" t="s">
        <v>33</v>
      </c>
    </row>
    <row r="25" spans="1:16">
      <c r="A25" s="1">
        <v>7</v>
      </c>
      <c r="B25" s="1"/>
      <c r="C25" s="1"/>
      <c r="D25" s="10" t="str">
        <f>IF(B25="","",B25*C25)</f>
        <v/>
      </c>
      <c r="E25" s="11" t="str">
        <f t="shared" ref="E25:E30" si="7">IF(B25="","",$J$7*D25/$D$32)</f>
        <v/>
      </c>
      <c r="F25" s="4" t="str">
        <f>E25</f>
        <v/>
      </c>
      <c r="G25" s="4"/>
      <c r="H25" s="2" t="str">
        <f>IF(G25="","",F25/G25)</f>
        <v/>
      </c>
      <c r="I25" s="2" t="str">
        <f>IF(H25="","",SUM(H25:$H$31))</f>
        <v/>
      </c>
      <c r="J25" s="4" t="str">
        <f t="shared" ref="J25:J30" si="8">IF(B25="","",B25/9.81)</f>
        <v/>
      </c>
      <c r="K25" s="11" t="str">
        <f t="shared" ref="K25:K30" si="9">IF(I25="","",J25*I25^2/1000)</f>
        <v/>
      </c>
      <c r="L25" s="52" t="str">
        <f t="shared" ref="L25:L30" si="10">IF(I25="","",E25*I25)</f>
        <v/>
      </c>
    </row>
    <row r="26" spans="1:16">
      <c r="A26" s="1">
        <v>6</v>
      </c>
      <c r="B26" s="1"/>
      <c r="C26" s="1"/>
      <c r="D26" s="10" t="str">
        <f t="shared" ref="D26:D31" si="11">IF(B26="","",B26*C26)</f>
        <v/>
      </c>
      <c r="E26" s="11" t="str">
        <f t="shared" si="7"/>
        <v/>
      </c>
      <c r="F26" s="4" t="str">
        <f>IF(E26="","",SUM($E$25:E26))</f>
        <v/>
      </c>
      <c r="G26" s="4"/>
      <c r="H26" s="2" t="str">
        <f t="shared" ref="H26:H31" si="12">IF(G26="","",F26/G26)</f>
        <v/>
      </c>
      <c r="I26" s="2" t="str">
        <f>IF(H26="","",SUM(H26:$H$31))</f>
        <v/>
      </c>
      <c r="J26" s="4" t="str">
        <f t="shared" si="8"/>
        <v/>
      </c>
      <c r="K26" s="11" t="str">
        <f t="shared" si="9"/>
        <v/>
      </c>
      <c r="L26" s="52" t="str">
        <f t="shared" si="10"/>
        <v/>
      </c>
    </row>
    <row r="27" spans="1:16">
      <c r="A27" s="1">
        <v>5</v>
      </c>
      <c r="B27" s="10">
        <f>B12</f>
        <v>3071.9</v>
      </c>
      <c r="C27" s="2">
        <f>C28+3.2</f>
        <v>16.399999999999999</v>
      </c>
      <c r="D27" s="10">
        <f t="shared" si="11"/>
        <v>50379.159999999996</v>
      </c>
      <c r="E27" s="11">
        <f t="shared" si="7"/>
        <v>561.7076674183877</v>
      </c>
      <c r="F27" s="4">
        <f>IF(E27="","",SUM($E$25:E27))</f>
        <v>561.7076674183877</v>
      </c>
      <c r="G27" s="2">
        <f>Rigidezze!H33</f>
        <v>429.7555411212478</v>
      </c>
      <c r="H27" s="2">
        <f t="shared" si="12"/>
        <v>1.3070399649830506</v>
      </c>
      <c r="I27" s="2">
        <f>IF(H27="","",SUM(H27:$H$31))</f>
        <v>12.030609773078552</v>
      </c>
      <c r="J27" s="4">
        <f t="shared" si="8"/>
        <v>313.13965341488279</v>
      </c>
      <c r="K27" s="11">
        <f t="shared" si="9"/>
        <v>45.322446700101843</v>
      </c>
      <c r="L27" s="52">
        <f t="shared" si="10"/>
        <v>6757.6857532568119</v>
      </c>
    </row>
    <row r="28" spans="1:16">
      <c r="A28" s="1">
        <v>4</v>
      </c>
      <c r="B28" s="10">
        <f>B13</f>
        <v>3285.3</v>
      </c>
      <c r="C28" s="2">
        <f>C29+3.2</f>
        <v>13.2</v>
      </c>
      <c r="D28" s="10">
        <f t="shared" si="11"/>
        <v>43365.96</v>
      </c>
      <c r="E28" s="11">
        <f t="shared" si="7"/>
        <v>483.51326693337296</v>
      </c>
      <c r="F28" s="4">
        <f>IF(E28="","",SUM($E$25:E28))</f>
        <v>1045.2209343517607</v>
      </c>
      <c r="G28" s="2">
        <f>Rigidezze!H34</f>
        <v>514.17950936052921</v>
      </c>
      <c r="H28" s="2">
        <f t="shared" si="12"/>
        <v>2.0327938304108479</v>
      </c>
      <c r="I28" s="2">
        <f>IF(H28="","",SUM(H28:$H$31))</f>
        <v>10.723569808095501</v>
      </c>
      <c r="J28" s="4">
        <f t="shared" si="8"/>
        <v>334.89296636085629</v>
      </c>
      <c r="K28" s="11">
        <f t="shared" si="9"/>
        <v>38.510999730827081</v>
      </c>
      <c r="L28" s="52">
        <f t="shared" si="10"/>
        <v>5184.9882711003393</v>
      </c>
    </row>
    <row r="29" spans="1:16">
      <c r="A29" s="1">
        <v>3</v>
      </c>
      <c r="B29" s="10">
        <f>B14</f>
        <v>3285.3</v>
      </c>
      <c r="C29" s="2">
        <f>C30+3.2</f>
        <v>10</v>
      </c>
      <c r="D29" s="10">
        <f t="shared" si="11"/>
        <v>32853</v>
      </c>
      <c r="E29" s="11">
        <f t="shared" si="7"/>
        <v>366.29792949497948</v>
      </c>
      <c r="F29" s="4">
        <f>IF(E29="","",SUM($E$25:E29))</f>
        <v>1411.5188638467403</v>
      </c>
      <c r="G29" s="2">
        <f>Rigidezze!H35</f>
        <v>514.17950936052921</v>
      </c>
      <c r="H29" s="2">
        <f t="shared" si="12"/>
        <v>2.7451869204243615</v>
      </c>
      <c r="I29" s="2">
        <f>IF(H29="","",SUM(H29:$H$31))</f>
        <v>8.6907759776846536</v>
      </c>
      <c r="J29" s="4">
        <f t="shared" si="8"/>
        <v>334.89296636085629</v>
      </c>
      <c r="K29" s="11">
        <f t="shared" si="9"/>
        <v>25.294327470020995</v>
      </c>
      <c r="L29" s="52">
        <f t="shared" si="10"/>
        <v>3183.4132463305946</v>
      </c>
    </row>
    <row r="30" spans="1:16">
      <c r="A30" s="1">
        <v>2</v>
      </c>
      <c r="B30" s="10">
        <f>B15</f>
        <v>3285.3</v>
      </c>
      <c r="C30" s="2">
        <f>C31+3.2</f>
        <v>6.8000000000000007</v>
      </c>
      <c r="D30" s="10">
        <f t="shared" si="11"/>
        <v>22340.040000000005</v>
      </c>
      <c r="E30" s="11">
        <f t="shared" si="7"/>
        <v>249.08259205658609</v>
      </c>
      <c r="F30" s="4">
        <f>IF(E30="","",SUM($E$25:E30))</f>
        <v>1660.6014559033263</v>
      </c>
      <c r="G30" s="2">
        <f>Rigidezze!H36</f>
        <v>514.17950936052921</v>
      </c>
      <c r="H30" s="2">
        <f t="shared" si="12"/>
        <v>3.2296142216335504</v>
      </c>
      <c r="I30" s="2">
        <f>IF(H30="","",SUM(H30:$H$31))</f>
        <v>5.9455890572602925</v>
      </c>
      <c r="J30" s="4">
        <f t="shared" si="8"/>
        <v>334.89296636085629</v>
      </c>
      <c r="K30" s="11">
        <f t="shared" si="9"/>
        <v>11.838476152394307</v>
      </c>
      <c r="L30" s="52">
        <f t="shared" si="10"/>
        <v>1480.9427336856677</v>
      </c>
    </row>
    <row r="31" spans="1:16">
      <c r="A31" s="1">
        <v>1</v>
      </c>
      <c r="B31" s="10">
        <f>B16</f>
        <v>2915.6</v>
      </c>
      <c r="C31" s="2">
        <v>3.6</v>
      </c>
      <c r="D31" s="10">
        <f t="shared" si="11"/>
        <v>10496.16</v>
      </c>
      <c r="E31" s="11">
        <f>IF(B31="","",$J$7*D31/$D$32)</f>
        <v>117.02802409667379</v>
      </c>
      <c r="F31" s="4">
        <f>IF(E31="","",SUM($E$25:E31))</f>
        <v>1777.6294800000001</v>
      </c>
      <c r="G31" s="2">
        <f>Rigidezze!H37</f>
        <v>654.50881822687882</v>
      </c>
      <c r="H31" s="2">
        <f t="shared" si="12"/>
        <v>2.7159748356267417</v>
      </c>
      <c r="I31" s="2">
        <f>IF(H31="","",SUM(H$31:$H31))</f>
        <v>2.7159748356267417</v>
      </c>
      <c r="J31" s="4">
        <f>IF(B31="","",B31/9.81)</f>
        <v>297.20693170234455</v>
      </c>
      <c r="K31" s="11">
        <f>IF(I31="","",J31*I31^2/1000)</f>
        <v>2.1923526701017706</v>
      </c>
      <c r="L31" s="52">
        <f>IF(I31="","",E31*I31)</f>
        <v>317.84516850968595</v>
      </c>
    </row>
    <row r="32" spans="1:16">
      <c r="A32" s="1" t="s">
        <v>35</v>
      </c>
      <c r="B32" s="29">
        <f>SUM(B25:B31)</f>
        <v>15843.4</v>
      </c>
      <c r="C32" s="1"/>
      <c r="D32" s="29">
        <f>SUM(D25:D31)</f>
        <v>159434.32</v>
      </c>
      <c r="E32" s="30">
        <f>SUM(E25:E31)</f>
        <v>1777.6294800000001</v>
      </c>
      <c r="F32" s="1"/>
      <c r="K32" s="30">
        <f>SUM(K25:K31)</f>
        <v>123.15860272344598</v>
      </c>
      <c r="L32" s="29">
        <f>SUM(L25:L31)</f>
        <v>16924.875172883098</v>
      </c>
      <c r="N32" s="53" t="s">
        <v>17</v>
      </c>
      <c r="O32" s="54">
        <f>2*PI()*SQRT(K32/L32)</f>
        <v>0.53598113955733551</v>
      </c>
      <c r="P32" s="55" t="s">
        <v>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V63"/>
  <sheetViews>
    <sheetView workbookViewId="0">
      <selection activeCell="A2" sqref="A2"/>
    </sheetView>
  </sheetViews>
  <sheetFormatPr defaultRowHeight="15"/>
  <cols>
    <col min="1" max="1" width="15.7109375" style="13" customWidth="1"/>
    <col min="2" max="9" width="8.7109375" style="13" customWidth="1"/>
    <col min="10" max="14" width="9" style="13"/>
  </cols>
  <sheetData>
    <row r="1" spans="1:22" ht="15.75">
      <c r="A1" s="12" t="s">
        <v>67</v>
      </c>
    </row>
    <row r="3" spans="1:22">
      <c r="A3" s="14" t="s">
        <v>108</v>
      </c>
      <c r="F3" s="14" t="s">
        <v>60</v>
      </c>
      <c r="G3" s="14"/>
      <c r="H3" s="15" t="s">
        <v>37</v>
      </c>
      <c r="I3" s="15" t="str">
        <f>IF(F3="Classe A","alta","media")</f>
        <v>alta</v>
      </c>
    </row>
    <row r="5" spans="1:22">
      <c r="G5" s="13" t="s">
        <v>112</v>
      </c>
      <c r="K5" s="61" t="s">
        <v>59</v>
      </c>
      <c r="L5" s="62">
        <f>M6/Periodo!E7</f>
        <v>1</v>
      </c>
    </row>
    <row r="6" spans="1:22">
      <c r="A6" s="16" t="s">
        <v>38</v>
      </c>
      <c r="D6" s="14" t="s">
        <v>39</v>
      </c>
      <c r="E6" s="22" t="s">
        <v>58</v>
      </c>
      <c r="G6" s="15" t="s">
        <v>40</v>
      </c>
      <c r="H6" s="17">
        <v>4.0999999999999996</v>
      </c>
      <c r="I6" s="14" t="s">
        <v>41</v>
      </c>
      <c r="K6" s="13" t="str">
        <f>CONCATENATE("Sd per T=",Periodo!F3," s")</f>
        <v>Sd per T=0.553 s</v>
      </c>
      <c r="M6" s="63">
        <v>0.13200000000000001</v>
      </c>
      <c r="N6" s="13" t="s">
        <v>75</v>
      </c>
      <c r="O6" s="31" t="str">
        <f>IF(ABS(L5-1)&gt;0.001,"modificare Sd nel foglio Periodo","")</f>
        <v/>
      </c>
    </row>
    <row r="7" spans="1:22">
      <c r="A7" s="14"/>
      <c r="C7" s="14"/>
      <c r="D7" s="18"/>
    </row>
    <row r="8" spans="1:22">
      <c r="A8" s="16" t="s">
        <v>42</v>
      </c>
      <c r="E8" s="14" t="s">
        <v>81</v>
      </c>
      <c r="P8" s="14" t="s">
        <v>82</v>
      </c>
    </row>
    <row r="9" spans="1:22">
      <c r="A9" s="19" t="s">
        <v>84</v>
      </c>
      <c r="B9" s="19" t="s">
        <v>43</v>
      </c>
      <c r="C9" s="19" t="s">
        <v>44</v>
      </c>
      <c r="D9" s="20" t="s">
        <v>8</v>
      </c>
      <c r="E9" s="19" t="s">
        <v>45</v>
      </c>
      <c r="F9" s="19" t="s">
        <v>46</v>
      </c>
      <c r="G9" s="20" t="s">
        <v>47</v>
      </c>
      <c r="H9" s="20" t="s">
        <v>48</v>
      </c>
      <c r="I9" s="21" t="s">
        <v>49</v>
      </c>
      <c r="K9" s="59" t="s">
        <v>109</v>
      </c>
      <c r="P9" t="s">
        <v>83</v>
      </c>
      <c r="Q9" s="19" t="s">
        <v>45</v>
      </c>
      <c r="R9" s="19" t="s">
        <v>46</v>
      </c>
      <c r="T9" s="20" t="s">
        <v>47</v>
      </c>
      <c r="U9" s="20" t="s">
        <v>48</v>
      </c>
      <c r="V9" s="21" t="s">
        <v>49</v>
      </c>
    </row>
    <row r="10" spans="1:22">
      <c r="A10" s="22">
        <v>7</v>
      </c>
      <c r="B10" s="56" t="str">
        <f>IF(Periodo!F10="","",Periodo!F10*$L$5)</f>
        <v/>
      </c>
      <c r="C10" s="19"/>
      <c r="D10" s="20"/>
      <c r="E10" s="19"/>
      <c r="F10" s="19"/>
      <c r="G10" s="20"/>
      <c r="H10" s="20"/>
      <c r="I10" s="32"/>
      <c r="K10" s="60" t="s">
        <v>110</v>
      </c>
      <c r="P10" s="2" t="str">
        <f>IF(Rigidezze!L4="","",Rigidezze!L4)</f>
        <v/>
      </c>
      <c r="Q10" s="4" t="str">
        <f>IF($P10="","",E10*$P10)</f>
        <v/>
      </c>
      <c r="R10" s="23" t="str">
        <f t="shared" ref="R10:R11" si="0">IF(P10="","",Q10*$C10/2)</f>
        <v/>
      </c>
      <c r="S10" s="23"/>
      <c r="T10" s="4"/>
      <c r="U10" s="4"/>
      <c r="V10" s="4"/>
    </row>
    <row r="11" spans="1:22">
      <c r="A11" s="22">
        <v>6</v>
      </c>
      <c r="B11" s="56" t="str">
        <f>IF(Periodo!F11="","",Periodo!F11*$L$5)</f>
        <v/>
      </c>
      <c r="C11" s="19"/>
      <c r="D11" s="20"/>
      <c r="E11" s="19"/>
      <c r="F11" s="19"/>
      <c r="G11" s="20"/>
      <c r="H11" s="20"/>
      <c r="I11" s="32"/>
      <c r="K11" s="60" t="s">
        <v>111</v>
      </c>
      <c r="P11" s="2" t="str">
        <f>IF(Rigidezze!L5="","",Rigidezze!L5)</f>
        <v/>
      </c>
      <c r="Q11" s="4" t="str">
        <f t="shared" ref="Q11:Q16" si="1">IF($P11="","",E11*$P11)</f>
        <v/>
      </c>
      <c r="R11" s="23" t="str">
        <f t="shared" si="0"/>
        <v/>
      </c>
      <c r="S11" s="23"/>
      <c r="T11" s="4"/>
      <c r="U11" s="4"/>
      <c r="V11" s="4"/>
    </row>
    <row r="12" spans="1:22">
      <c r="A12" s="22">
        <v>5</v>
      </c>
      <c r="B12" s="56">
        <f>IF(Periodo!F12="","",Periodo!F12*$L$5)</f>
        <v>561.7076674183877</v>
      </c>
      <c r="C12" s="24">
        <v>3.2</v>
      </c>
      <c r="D12" s="24">
        <f>Rigidezze!J19</f>
        <v>14.765881388644726</v>
      </c>
      <c r="E12" s="23">
        <f>B12/D12</f>
        <v>38.040916937769303</v>
      </c>
      <c r="F12" s="23">
        <f>E12*$C12/2</f>
        <v>60.865467100430891</v>
      </c>
      <c r="G12" s="23">
        <f>ROUND(F12/2,1)</f>
        <v>30.4</v>
      </c>
      <c r="H12" s="23">
        <f>2*G12/$H$6</f>
        <v>14.829268292682928</v>
      </c>
      <c r="I12" s="32">
        <f>H12</f>
        <v>14.829268292682928</v>
      </c>
      <c r="L12" s="23"/>
      <c r="M12" s="22"/>
      <c r="N12" s="23"/>
      <c r="P12" s="2">
        <f>IF(Rigidezze!L6="","",Rigidezze!L6)</f>
        <v>0.58636698332405746</v>
      </c>
      <c r="Q12" s="4">
        <f t="shared" si="1"/>
        <v>22.30593770768083</v>
      </c>
      <c r="R12" s="23">
        <f>IF(P12="","",Q12*$C12/2)</f>
        <v>35.689500332289327</v>
      </c>
      <c r="S12" s="23"/>
      <c r="T12" s="23">
        <f>ROUND(R12,1)</f>
        <v>35.700000000000003</v>
      </c>
      <c r="U12" s="23">
        <f>2*T12/$H$6</f>
        <v>17.414634146341466</v>
      </c>
      <c r="V12" s="23">
        <f>U12</f>
        <v>17.414634146341466</v>
      </c>
    </row>
    <row r="13" spans="1:22">
      <c r="A13" s="22">
        <v>4</v>
      </c>
      <c r="B13" s="56">
        <f>IF(Periodo!F13="","",Periodo!F13*$L$5)</f>
        <v>1045.2209343517607</v>
      </c>
      <c r="C13" s="24">
        <v>3.2</v>
      </c>
      <c r="D13" s="24">
        <f>Rigidezze!J20</f>
        <v>14.516932350579236</v>
      </c>
      <c r="E13" s="23">
        <f>B13/D13</f>
        <v>72.00012434514484</v>
      </c>
      <c r="F13" s="23">
        <f t="shared" ref="F13:F15" si="2">E13*$C13/2</f>
        <v>115.20019895223174</v>
      </c>
      <c r="G13" s="23">
        <f>ROUND((F12+F13)/2,1)</f>
        <v>88</v>
      </c>
      <c r="H13" s="23">
        <f>2*G13/$H$6</f>
        <v>42.926829268292686</v>
      </c>
      <c r="I13" s="32">
        <f>I12+H13</f>
        <v>57.756097560975611</v>
      </c>
      <c r="K13" s="22"/>
      <c r="L13" s="23"/>
      <c r="M13" s="22"/>
      <c r="N13" s="23"/>
      <c r="P13" s="2">
        <f>IF(Rigidezze!L7="","",Rigidezze!L7)</f>
        <v>0.60060549604098745</v>
      </c>
      <c r="Q13" s="4">
        <f t="shared" si="1"/>
        <v>43.243670397328493</v>
      </c>
      <c r="R13" s="23">
        <f t="shared" ref="R13:R15" si="3">Q13*$C13/2</f>
        <v>69.189872635725592</v>
      </c>
      <c r="S13" s="23"/>
      <c r="T13" s="23">
        <f>ROUND((R12+R13),1)</f>
        <v>104.9</v>
      </c>
      <c r="U13" s="23">
        <f>2*T13/$H$6</f>
        <v>51.170731707317081</v>
      </c>
      <c r="V13" s="23">
        <f>V12+U13</f>
        <v>68.585365853658544</v>
      </c>
    </row>
    <row r="14" spans="1:22">
      <c r="A14" s="22">
        <v>3</v>
      </c>
      <c r="B14" s="56">
        <f>IF(Periodo!F14="","",Periodo!F14*$L$5)</f>
        <v>1411.5188638467403</v>
      </c>
      <c r="C14" s="24">
        <v>3.2</v>
      </c>
      <c r="D14" s="24">
        <f>Rigidezze!J21</f>
        <v>14.516932350579236</v>
      </c>
      <c r="E14" s="23">
        <f>B14/D14</f>
        <v>97.232585353366318</v>
      </c>
      <c r="F14" s="23">
        <f t="shared" si="2"/>
        <v>155.57213656538613</v>
      </c>
      <c r="G14" s="23">
        <f>ROUND((F13+F14)/2,1)</f>
        <v>135.4</v>
      </c>
      <c r="H14" s="23">
        <f>2*G14/$H$6</f>
        <v>66.048780487804891</v>
      </c>
      <c r="I14" s="32">
        <f>I13+H14</f>
        <v>123.80487804878049</v>
      </c>
      <c r="K14" s="22"/>
      <c r="L14" s="23"/>
      <c r="M14" s="22"/>
      <c r="N14" s="23"/>
      <c r="P14" s="2">
        <f>IF(Rigidezze!L8="","",Rigidezze!L8)</f>
        <v>0.60060549604098745</v>
      </c>
      <c r="Q14" s="4">
        <f t="shared" si="1"/>
        <v>58.398425157506232</v>
      </c>
      <c r="R14" s="23">
        <f t="shared" si="3"/>
        <v>93.437480252009976</v>
      </c>
      <c r="S14" s="23"/>
      <c r="T14" s="23">
        <f t="shared" ref="T14:T16" si="4">ROUND((R13+R14),1)</f>
        <v>162.6</v>
      </c>
      <c r="U14" s="23">
        <f>2*T14/$H$6</f>
        <v>79.317073170731717</v>
      </c>
      <c r="V14" s="23">
        <f>V13+U14</f>
        <v>147.90243902439028</v>
      </c>
    </row>
    <row r="15" spans="1:22">
      <c r="A15" s="22">
        <v>2</v>
      </c>
      <c r="B15" s="56">
        <f>IF(Periodo!F15="","",Periodo!F15*$L$5)</f>
        <v>1660.6014559033263</v>
      </c>
      <c r="C15" s="24">
        <v>3.2</v>
      </c>
      <c r="D15" s="24">
        <f>Rigidezze!J22</f>
        <v>14.516932350579236</v>
      </c>
      <c r="E15" s="23">
        <f>B15/D15</f>
        <v>114.39065883895692</v>
      </c>
      <c r="F15" s="23">
        <f t="shared" si="2"/>
        <v>183.0250541423311</v>
      </c>
      <c r="G15" s="23">
        <f>ROUND((F14+F15)/2,1)</f>
        <v>169.3</v>
      </c>
      <c r="H15" s="23">
        <f>2*G15/$H$6</f>
        <v>82.585365853658544</v>
      </c>
      <c r="I15" s="32">
        <f>I14+H15</f>
        <v>206.39024390243904</v>
      </c>
      <c r="K15" s="22"/>
      <c r="L15" s="23"/>
      <c r="M15" s="22"/>
      <c r="N15" s="23"/>
      <c r="P15" s="2">
        <f>IF(Rigidezze!L9="","",Rigidezze!L9)</f>
        <v>0.60060549604098745</v>
      </c>
      <c r="Q15" s="4">
        <f t="shared" si="1"/>
        <v>68.703658394427094</v>
      </c>
      <c r="R15" s="23">
        <f t="shared" si="3"/>
        <v>109.92585343108335</v>
      </c>
      <c r="S15" s="23"/>
      <c r="T15" s="23">
        <f t="shared" si="4"/>
        <v>203.4</v>
      </c>
      <c r="U15" s="23">
        <f>2*T15/$H$6</f>
        <v>99.219512195121965</v>
      </c>
      <c r="V15" s="23">
        <f>V14+U15</f>
        <v>247.12195121951225</v>
      </c>
    </row>
    <row r="16" spans="1:22">
      <c r="A16" s="22" t="s">
        <v>50</v>
      </c>
      <c r="B16" s="56">
        <f>IF(Periodo!F16="","",Periodo!F16*$L$5)</f>
        <v>1777.6294800000001</v>
      </c>
      <c r="C16" s="24">
        <v>3.6</v>
      </c>
      <c r="D16" s="24">
        <f>Rigidezze!J23</f>
        <v>14.932940733669676</v>
      </c>
      <c r="E16" s="23">
        <f>B16/D16</f>
        <v>119.04081799453836</v>
      </c>
      <c r="F16" s="23">
        <f>E16*$C16*0.4</f>
        <v>171.41877791213525</v>
      </c>
      <c r="G16" s="23">
        <f>ROUND((F15+F16)/2,1)</f>
        <v>177.2</v>
      </c>
      <c r="H16" s="23">
        <f>2*G16/$H$6</f>
        <v>86.439024390243901</v>
      </c>
      <c r="I16" s="32">
        <f>I15+H16</f>
        <v>292.82926829268297</v>
      </c>
      <c r="K16" s="22"/>
      <c r="L16" s="23"/>
      <c r="M16" s="22"/>
      <c r="N16" s="23"/>
      <c r="P16" s="2">
        <f>IF(Rigidezze!L10="","",Rigidezze!L10)</f>
        <v>0.79665319372304533</v>
      </c>
      <c r="Q16" s="4">
        <f t="shared" si="1"/>
        <v>94.834247838752745</v>
      </c>
      <c r="R16" s="23">
        <f>Q16*$C16*0.4</f>
        <v>136.56131688780394</v>
      </c>
      <c r="S16" s="23"/>
      <c r="T16" s="23">
        <f t="shared" si="4"/>
        <v>246.5</v>
      </c>
      <c r="U16" s="23">
        <f>2*T16/$H$6</f>
        <v>120.2439024390244</v>
      </c>
      <c r="V16" s="23">
        <f>V15+U16</f>
        <v>367.36585365853665</v>
      </c>
    </row>
    <row r="17" spans="1:22">
      <c r="A17" s="22" t="s">
        <v>51</v>
      </c>
      <c r="B17" s="22"/>
      <c r="C17" s="22"/>
      <c r="D17" s="23"/>
      <c r="F17" s="23">
        <f>E16*$C16*0.6</f>
        <v>257.12816686820287</v>
      </c>
      <c r="I17" s="23"/>
      <c r="J17" s="25"/>
      <c r="L17" s="23"/>
      <c r="M17" s="22"/>
      <c r="N17" s="23"/>
      <c r="P17" s="2"/>
      <c r="R17" s="23">
        <f>Q16*$C16*0.6</f>
        <v>204.84197533170592</v>
      </c>
      <c r="S17" s="23"/>
      <c r="T17" s="4"/>
      <c r="U17" s="4"/>
      <c r="V17" s="4"/>
    </row>
    <row r="18" spans="1:22">
      <c r="A18" s="22"/>
      <c r="B18" s="22"/>
      <c r="C18" s="22"/>
      <c r="D18" s="23"/>
      <c r="F18" s="23"/>
      <c r="I18" s="23"/>
      <c r="J18" s="25"/>
      <c r="L18" s="23"/>
      <c r="M18" s="22"/>
      <c r="N18" s="23"/>
    </row>
    <row r="19" spans="1:22">
      <c r="A19" s="16" t="s">
        <v>52</v>
      </c>
      <c r="B19" s="22"/>
      <c r="C19" s="22"/>
      <c r="D19" s="23"/>
      <c r="F19" s="23"/>
      <c r="I19" s="23"/>
      <c r="J19" s="25"/>
      <c r="K19" s="16" t="s">
        <v>53</v>
      </c>
      <c r="M19" s="22"/>
      <c r="N19" s="23"/>
    </row>
    <row r="20" spans="1:22">
      <c r="A20" s="19" t="s">
        <v>84</v>
      </c>
      <c r="B20" s="22"/>
      <c r="C20" s="22"/>
      <c r="D20" s="23"/>
      <c r="E20" s="19" t="s">
        <v>45</v>
      </c>
      <c r="F20" s="19" t="s">
        <v>46</v>
      </c>
      <c r="G20" s="20" t="s">
        <v>47</v>
      </c>
      <c r="H20" s="20" t="s">
        <v>48</v>
      </c>
      <c r="I20" s="21" t="s">
        <v>49</v>
      </c>
      <c r="J20" s="25"/>
      <c r="K20" s="20" t="s">
        <v>54</v>
      </c>
      <c r="L20" s="19" t="s">
        <v>46</v>
      </c>
      <c r="M20" s="22"/>
      <c r="N20" s="23"/>
      <c r="Q20" s="19" t="s">
        <v>45</v>
      </c>
      <c r="R20" s="19" t="s">
        <v>46</v>
      </c>
      <c r="S20" s="19" t="s">
        <v>85</v>
      </c>
      <c r="T20" s="20" t="s">
        <v>47</v>
      </c>
      <c r="U20" s="20" t="s">
        <v>48</v>
      </c>
      <c r="V20" s="21" t="s">
        <v>49</v>
      </c>
    </row>
    <row r="21" spans="1:22">
      <c r="A21" s="22">
        <v>7</v>
      </c>
      <c r="B21" s="22"/>
      <c r="C21" s="22"/>
      <c r="D21" s="23"/>
      <c r="E21" s="19"/>
      <c r="F21" s="19"/>
      <c r="G21" s="20"/>
      <c r="H21" s="20"/>
      <c r="I21" s="32"/>
      <c r="J21" s="25"/>
      <c r="K21" s="20"/>
      <c r="L21" s="19"/>
      <c r="M21" s="22"/>
      <c r="N21" s="23"/>
      <c r="Q21" s="19"/>
      <c r="R21" s="19"/>
      <c r="S21" s="19"/>
      <c r="T21" s="20"/>
      <c r="U21" s="20"/>
      <c r="V21" s="21"/>
    </row>
    <row r="22" spans="1:22">
      <c r="A22" s="22">
        <v>6</v>
      </c>
      <c r="B22" s="22"/>
      <c r="C22" s="22"/>
      <c r="D22" s="23"/>
      <c r="E22" s="19"/>
      <c r="F22" s="19"/>
      <c r="G22" s="20"/>
      <c r="H22" s="20"/>
      <c r="I22" s="32"/>
      <c r="J22" s="25"/>
      <c r="K22" s="20"/>
      <c r="L22" s="19"/>
      <c r="M22" s="22"/>
      <c r="N22" s="23"/>
      <c r="Q22" s="19"/>
      <c r="R22" s="19"/>
      <c r="S22" s="19"/>
      <c r="T22" s="20"/>
      <c r="U22" s="20"/>
      <c r="V22" s="21"/>
    </row>
    <row r="23" spans="1:22">
      <c r="A23" s="22">
        <v>5</v>
      </c>
      <c r="B23" s="22"/>
      <c r="C23" s="22"/>
      <c r="D23" s="23"/>
      <c r="E23" s="23">
        <f>E12</f>
        <v>38.040916937769303</v>
      </c>
      <c r="F23" s="23">
        <f t="shared" ref="F23:G27" si="5">F12*0.9</f>
        <v>54.778920390387803</v>
      </c>
      <c r="G23" s="23">
        <f t="shared" si="5"/>
        <v>27.36</v>
      </c>
      <c r="H23" s="23">
        <f>H12</f>
        <v>14.829268292682928</v>
      </c>
      <c r="I23" s="32">
        <f>I12</f>
        <v>14.829268292682928</v>
      </c>
      <c r="J23" s="25"/>
      <c r="K23" s="22">
        <f>IF($F$3="Classe B",1.3,1.5)</f>
        <v>1.5</v>
      </c>
      <c r="L23" s="23">
        <f t="shared" ref="L23:L28" si="6">F23*K23</f>
        <v>82.168380585581701</v>
      </c>
      <c r="M23" s="22"/>
      <c r="N23" s="23"/>
      <c r="Q23" s="23">
        <f>Q12</f>
        <v>22.30593770768083</v>
      </c>
      <c r="R23" s="23">
        <f t="shared" ref="R23:T23" si="7">R12*0.9</f>
        <v>32.120550299060397</v>
      </c>
      <c r="S23" s="23">
        <f>R23*K23</f>
        <v>48.180825448590596</v>
      </c>
      <c r="T23" s="23">
        <f t="shared" si="7"/>
        <v>32.130000000000003</v>
      </c>
      <c r="U23" s="23">
        <f>U12</f>
        <v>17.414634146341466</v>
      </c>
      <c r="V23" s="33">
        <f>V12</f>
        <v>17.414634146341466</v>
      </c>
    </row>
    <row r="24" spans="1:22">
      <c r="A24" s="22">
        <v>4</v>
      </c>
      <c r="B24" s="22"/>
      <c r="C24" s="22"/>
      <c r="D24" s="23"/>
      <c r="E24" s="23">
        <f>E13</f>
        <v>72.00012434514484</v>
      </c>
      <c r="F24" s="23">
        <f t="shared" si="5"/>
        <v>103.68017905700857</v>
      </c>
      <c r="G24" s="23">
        <f t="shared" si="5"/>
        <v>79.2</v>
      </c>
      <c r="H24" s="23">
        <f>H13</f>
        <v>42.926829268292686</v>
      </c>
      <c r="I24" s="32">
        <f>I13</f>
        <v>57.756097560975611</v>
      </c>
      <c r="J24" s="25"/>
      <c r="K24" s="22">
        <f>IF($F$3="Classe B",1.3,1.5)</f>
        <v>1.5</v>
      </c>
      <c r="L24" s="23">
        <f t="shared" si="6"/>
        <v>155.52026858551287</v>
      </c>
      <c r="M24" s="22"/>
      <c r="N24" s="23"/>
      <c r="Q24" s="23">
        <f>Q13</f>
        <v>43.243670397328493</v>
      </c>
      <c r="R24" s="23">
        <f t="shared" ref="R24:T24" si="8">R13*0.9</f>
        <v>62.270885372153032</v>
      </c>
      <c r="S24" s="23">
        <f t="shared" ref="S24:S28" si="9">R24*K24</f>
        <v>93.406328058229548</v>
      </c>
      <c r="T24" s="23">
        <f t="shared" si="8"/>
        <v>94.410000000000011</v>
      </c>
      <c r="U24" s="23">
        <f>U13</f>
        <v>51.170731707317081</v>
      </c>
      <c r="V24" s="33">
        <f>V13</f>
        <v>68.585365853658544</v>
      </c>
    </row>
    <row r="25" spans="1:22">
      <c r="A25" s="22">
        <v>3</v>
      </c>
      <c r="B25" s="22"/>
      <c r="C25" s="22"/>
      <c r="D25" s="23"/>
      <c r="E25" s="23">
        <f t="shared" ref="E25:E27" si="10">E14</f>
        <v>97.232585353366318</v>
      </c>
      <c r="F25" s="23">
        <f t="shared" si="5"/>
        <v>140.01492290884752</v>
      </c>
      <c r="G25" s="23">
        <f t="shared" si="5"/>
        <v>121.86000000000001</v>
      </c>
      <c r="H25" s="23">
        <f t="shared" ref="H25:I27" si="11">H14</f>
        <v>66.048780487804891</v>
      </c>
      <c r="I25" s="32">
        <f t="shared" si="11"/>
        <v>123.80487804878049</v>
      </c>
      <c r="J25" s="25"/>
      <c r="K25" s="22">
        <f>IF($F$3="Classe B",1.3,1.5)</f>
        <v>1.5</v>
      </c>
      <c r="L25" s="23">
        <f t="shared" si="6"/>
        <v>210.02238436327127</v>
      </c>
      <c r="M25" s="22"/>
      <c r="N25" s="23"/>
      <c r="Q25" s="23">
        <f t="shared" ref="Q25:Q27" si="12">Q14</f>
        <v>58.398425157506232</v>
      </c>
      <c r="R25" s="23">
        <f t="shared" ref="R25:T25" si="13">R14*0.9</f>
        <v>84.093732226808982</v>
      </c>
      <c r="S25" s="23">
        <f t="shared" si="9"/>
        <v>126.14059834021347</v>
      </c>
      <c r="T25" s="23">
        <f t="shared" si="13"/>
        <v>146.34</v>
      </c>
      <c r="U25" s="23">
        <f t="shared" ref="U25:V25" si="14">U14</f>
        <v>79.317073170731717</v>
      </c>
      <c r="V25" s="33">
        <f t="shared" si="14"/>
        <v>147.90243902439028</v>
      </c>
    </row>
    <row r="26" spans="1:22">
      <c r="A26" s="22">
        <v>2</v>
      </c>
      <c r="B26" s="22"/>
      <c r="C26" s="22"/>
      <c r="D26" s="23"/>
      <c r="E26" s="23">
        <f t="shared" si="10"/>
        <v>114.39065883895692</v>
      </c>
      <c r="F26" s="23">
        <f t="shared" si="5"/>
        <v>164.72254872809799</v>
      </c>
      <c r="G26" s="23">
        <f t="shared" si="5"/>
        <v>152.37</v>
      </c>
      <c r="H26" s="23">
        <f t="shared" si="11"/>
        <v>82.585365853658544</v>
      </c>
      <c r="I26" s="32">
        <f t="shared" si="11"/>
        <v>206.39024390243904</v>
      </c>
      <c r="J26" s="25"/>
      <c r="K26" s="22">
        <f>IF($F$3="Classe B",1.3,1.5)</f>
        <v>1.5</v>
      </c>
      <c r="L26" s="23">
        <f t="shared" si="6"/>
        <v>247.08382309214699</v>
      </c>
      <c r="M26" s="22"/>
      <c r="N26" s="23"/>
      <c r="Q26" s="23">
        <f t="shared" si="12"/>
        <v>68.703658394427094</v>
      </c>
      <c r="R26" s="23">
        <f t="shared" ref="R26:T26" si="15">R15*0.9</f>
        <v>98.933268087975023</v>
      </c>
      <c r="S26" s="23">
        <f t="shared" si="9"/>
        <v>148.39990213196253</v>
      </c>
      <c r="T26" s="23">
        <f t="shared" si="15"/>
        <v>183.06</v>
      </c>
      <c r="U26" s="23">
        <f t="shared" ref="U26:V26" si="16">U15</f>
        <v>99.219512195121965</v>
      </c>
      <c r="V26" s="33">
        <f t="shared" si="16"/>
        <v>247.12195121951225</v>
      </c>
    </row>
    <row r="27" spans="1:22">
      <c r="A27" s="22" t="s">
        <v>50</v>
      </c>
      <c r="B27" s="22"/>
      <c r="C27" s="22"/>
      <c r="D27" s="23"/>
      <c r="E27" s="23">
        <f t="shared" si="10"/>
        <v>119.04081799453836</v>
      </c>
      <c r="F27" s="23">
        <f t="shared" si="5"/>
        <v>154.27690012092174</v>
      </c>
      <c r="G27" s="23">
        <f t="shared" si="5"/>
        <v>159.47999999999999</v>
      </c>
      <c r="H27" s="23">
        <f t="shared" si="11"/>
        <v>86.439024390243901</v>
      </c>
      <c r="I27" s="32">
        <f t="shared" si="11"/>
        <v>292.82926829268297</v>
      </c>
      <c r="J27" s="25"/>
      <c r="K27" s="22">
        <f>IF($F$3="Classe B",1.3,1.5)</f>
        <v>1.5</v>
      </c>
      <c r="L27" s="23">
        <f t="shared" si="6"/>
        <v>231.41535018138262</v>
      </c>
      <c r="M27" s="22"/>
      <c r="N27" s="23"/>
      <c r="Q27" s="23">
        <f t="shared" si="12"/>
        <v>94.834247838752745</v>
      </c>
      <c r="R27" s="23">
        <f t="shared" ref="R27:T27" si="17">R16*0.9</f>
        <v>122.90518519902355</v>
      </c>
      <c r="S27" s="23">
        <f t="shared" si="9"/>
        <v>184.35777779853532</v>
      </c>
      <c r="T27" s="23">
        <f t="shared" si="17"/>
        <v>221.85</v>
      </c>
      <c r="U27" s="23">
        <f t="shared" ref="U27:V27" si="18">U16</f>
        <v>120.2439024390244</v>
      </c>
      <c r="V27" s="33">
        <f t="shared" si="18"/>
        <v>367.36585365853665</v>
      </c>
    </row>
    <row r="28" spans="1:22">
      <c r="A28" s="22" t="s">
        <v>51</v>
      </c>
      <c r="B28" s="22"/>
      <c r="C28" s="22"/>
      <c r="D28" s="23"/>
      <c r="F28" s="23">
        <f>F17</f>
        <v>257.12816686820287</v>
      </c>
      <c r="I28" s="23"/>
      <c r="J28" s="25"/>
      <c r="K28" s="22">
        <v>1</v>
      </c>
      <c r="L28" s="23">
        <f t="shared" si="6"/>
        <v>257.12816686820287</v>
      </c>
      <c r="M28" s="22"/>
      <c r="N28" s="23"/>
      <c r="Q28" s="13"/>
      <c r="R28" s="23">
        <f>R17</f>
        <v>204.84197533170592</v>
      </c>
      <c r="S28" s="23">
        <f t="shared" si="9"/>
        <v>204.84197533170592</v>
      </c>
      <c r="T28" s="13"/>
      <c r="U28" s="13"/>
      <c r="V28" s="23"/>
    </row>
    <row r="29" spans="1:22">
      <c r="A29" s="22"/>
      <c r="B29" s="22"/>
      <c r="C29" s="22"/>
      <c r="D29" s="23"/>
      <c r="E29" s="23"/>
      <c r="G29" s="24"/>
      <c r="I29" s="23"/>
    </row>
    <row r="30" spans="1:22" s="13" customFormat="1" ht="15" customHeight="1">
      <c r="A30" s="16" t="s">
        <v>55</v>
      </c>
      <c r="B30" s="22"/>
      <c r="C30" s="22"/>
      <c r="D30" s="23"/>
      <c r="E30" s="23"/>
      <c r="G30" s="24"/>
      <c r="I30" s="23"/>
      <c r="K30" s="16"/>
    </row>
    <row r="31" spans="1:22" s="13" customFormat="1" ht="15" customHeight="1">
      <c r="A31" s="19"/>
      <c r="C31" s="22"/>
      <c r="D31" s="15"/>
      <c r="E31" s="57" t="s">
        <v>105</v>
      </c>
      <c r="F31" s="19"/>
      <c r="G31" s="20"/>
      <c r="H31" s="20"/>
      <c r="I31" s="21"/>
      <c r="K31" s="20"/>
      <c r="L31" s="19"/>
    </row>
    <row r="32" spans="1:22" s="13" customFormat="1" ht="15" customHeight="1">
      <c r="A32" s="22"/>
      <c r="D32" s="24"/>
      <c r="E32" s="58" t="s">
        <v>106</v>
      </c>
      <c r="F32" s="23"/>
      <c r="G32" s="23"/>
      <c r="H32" s="23"/>
      <c r="I32" s="23"/>
      <c r="K32" s="22"/>
      <c r="L32" s="23"/>
    </row>
    <row r="33" spans="1:22" s="13" customFormat="1" ht="15" customHeight="1">
      <c r="A33" s="22"/>
      <c r="D33" s="24"/>
      <c r="E33" s="58" t="s">
        <v>107</v>
      </c>
      <c r="F33" s="23"/>
      <c r="G33" s="23"/>
      <c r="H33" s="23"/>
      <c r="I33" s="23"/>
      <c r="K33" s="22"/>
      <c r="L33" s="23"/>
    </row>
    <row r="34" spans="1:22">
      <c r="A34" s="22"/>
      <c r="D34" s="24"/>
      <c r="F34" s="23"/>
      <c r="I34" s="23"/>
      <c r="K34" s="22"/>
      <c r="L34" s="23"/>
      <c r="Q34" s="13"/>
      <c r="R34" s="23"/>
      <c r="S34" s="23"/>
      <c r="T34" s="13"/>
      <c r="U34" s="13"/>
      <c r="V34" s="23"/>
    </row>
    <row r="35" spans="1:22">
      <c r="G35" s="13" t="s">
        <v>112</v>
      </c>
      <c r="K35" s="61" t="s">
        <v>59</v>
      </c>
      <c r="L35" s="62">
        <f>M36/Periodo!E22</f>
        <v>1</v>
      </c>
    </row>
    <row r="36" spans="1:22">
      <c r="A36" s="16" t="s">
        <v>56</v>
      </c>
      <c r="D36" s="14" t="s">
        <v>39</v>
      </c>
      <c r="E36" s="22" t="s">
        <v>58</v>
      </c>
      <c r="G36" s="15" t="s">
        <v>40</v>
      </c>
      <c r="H36" s="17">
        <v>4.0999999999999996</v>
      </c>
      <c r="I36" s="14" t="s">
        <v>41</v>
      </c>
      <c r="K36" s="13" t="str">
        <f>CONCATENATE("Sd per T=",Periodo!I3," s")</f>
        <v>Sd per T=0.536 s</v>
      </c>
      <c r="M36" s="63">
        <v>0.13619999999999999</v>
      </c>
      <c r="N36" s="13" t="s">
        <v>75</v>
      </c>
      <c r="O36" s="31" t="str">
        <f>IF(ABS(L35-1)&gt;0.001,"modificare Sd nel foglio Periodo","")</f>
        <v/>
      </c>
    </row>
    <row r="37" spans="1:22">
      <c r="A37" s="14"/>
      <c r="C37" s="14"/>
      <c r="D37" s="18"/>
    </row>
    <row r="38" spans="1:22">
      <c r="A38" s="16" t="s">
        <v>42</v>
      </c>
      <c r="E38" s="14" t="s">
        <v>81</v>
      </c>
    </row>
    <row r="39" spans="1:22">
      <c r="A39" s="19" t="s">
        <v>22</v>
      </c>
      <c r="B39" s="19" t="s">
        <v>43</v>
      </c>
      <c r="C39" s="19" t="s">
        <v>44</v>
      </c>
      <c r="D39" s="20" t="s">
        <v>8</v>
      </c>
      <c r="E39" s="19" t="s">
        <v>45</v>
      </c>
      <c r="F39" s="19" t="s">
        <v>46</v>
      </c>
      <c r="G39" s="20" t="s">
        <v>47</v>
      </c>
      <c r="H39" s="20" t="s">
        <v>48</v>
      </c>
      <c r="I39" s="21" t="s">
        <v>49</v>
      </c>
      <c r="K39" s="59" t="s">
        <v>109</v>
      </c>
    </row>
    <row r="40" spans="1:22">
      <c r="A40" s="22">
        <v>7</v>
      </c>
      <c r="B40" s="23" t="str">
        <f>IF(Periodo!F25="","",Periodo!F25*$L$35)</f>
        <v/>
      </c>
      <c r="C40" s="22"/>
      <c r="D40" s="23"/>
      <c r="E40" s="19"/>
      <c r="F40" s="19"/>
      <c r="G40" s="20"/>
      <c r="H40" s="20"/>
      <c r="I40" s="32"/>
      <c r="J40" s="25"/>
      <c r="K40" s="60" t="s">
        <v>110</v>
      </c>
      <c r="L40" s="19"/>
      <c r="M40" s="22"/>
      <c r="N40" s="23"/>
      <c r="Q40" s="19"/>
      <c r="R40" s="19"/>
      <c r="S40" s="19"/>
      <c r="T40" s="20"/>
      <c r="U40" s="20"/>
      <c r="V40" s="21"/>
    </row>
    <row r="41" spans="1:22">
      <c r="A41" s="22">
        <v>6</v>
      </c>
      <c r="B41" s="23" t="str">
        <f>IF(Periodo!F26="","",Periodo!F26*$L$35)</f>
        <v/>
      </c>
      <c r="C41" s="22"/>
      <c r="D41" s="23"/>
      <c r="E41" s="19"/>
      <c r="F41" s="19"/>
      <c r="G41" s="20"/>
      <c r="H41" s="20"/>
      <c r="I41" s="32"/>
      <c r="J41" s="25"/>
      <c r="K41" s="60" t="s">
        <v>111</v>
      </c>
      <c r="L41" s="19"/>
      <c r="M41" s="22"/>
      <c r="N41" s="23"/>
      <c r="Q41" s="19"/>
      <c r="R41" s="19"/>
      <c r="S41" s="19"/>
      <c r="T41" s="20"/>
      <c r="U41" s="20"/>
      <c r="V41" s="21"/>
    </row>
    <row r="42" spans="1:22">
      <c r="A42" s="22">
        <v>5</v>
      </c>
      <c r="B42" s="23">
        <f>IF(Periodo!F27="","",Periodo!F27*$L$35)</f>
        <v>561.7076674183877</v>
      </c>
      <c r="C42" s="24">
        <f t="shared" ref="C42:C46" si="19">C12</f>
        <v>3.2</v>
      </c>
      <c r="D42" s="24">
        <f>Rigidezze!J33</f>
        <v>15.709965255718435</v>
      </c>
      <c r="E42" s="23">
        <f>B42/D42</f>
        <v>35.754863761644913</v>
      </c>
      <c r="F42" s="23">
        <f>E42*C42/2</f>
        <v>57.20778201863186</v>
      </c>
      <c r="G42" s="23">
        <f>ROUND(F42/2,1)</f>
        <v>28.6</v>
      </c>
      <c r="H42" s="23">
        <f>2*G42/$H$6</f>
        <v>13.951219512195124</v>
      </c>
      <c r="I42" s="32">
        <f>H42</f>
        <v>13.951219512195124</v>
      </c>
      <c r="K42" s="22"/>
      <c r="L42" s="23"/>
      <c r="M42" s="22"/>
      <c r="N42" s="23"/>
    </row>
    <row r="43" spans="1:22">
      <c r="A43" s="22">
        <v>4</v>
      </c>
      <c r="B43" s="23">
        <f>IF(Periodo!F28="","",Periodo!F28*$L$35)</f>
        <v>1045.2209343517607</v>
      </c>
      <c r="C43" s="24">
        <f t="shared" si="19"/>
        <v>3.2</v>
      </c>
      <c r="D43" s="24">
        <f>Rigidezze!J34</f>
        <v>15.515878552571367</v>
      </c>
      <c r="E43" s="23">
        <f>B43/D43</f>
        <v>67.364598840491794</v>
      </c>
      <c r="F43" s="23">
        <f>E43*C43/2</f>
        <v>107.78335814478687</v>
      </c>
      <c r="G43" s="23">
        <f>ROUND((F42+F43)/2,1)</f>
        <v>82.5</v>
      </c>
      <c r="H43" s="23">
        <f>2*G43/$H$6</f>
        <v>40.243902439024396</v>
      </c>
      <c r="I43" s="32">
        <f>I42+H43</f>
        <v>54.195121951219519</v>
      </c>
      <c r="K43" s="22"/>
      <c r="L43" s="23"/>
      <c r="M43" s="22"/>
      <c r="N43" s="23"/>
    </row>
    <row r="44" spans="1:22">
      <c r="A44" s="22">
        <v>3</v>
      </c>
      <c r="B44" s="23">
        <f>IF(Periodo!F29="","",Periodo!F29*$L$35)</f>
        <v>1411.5188638467403</v>
      </c>
      <c r="C44" s="24">
        <f t="shared" si="19"/>
        <v>3.2</v>
      </c>
      <c r="D44" s="24">
        <f>Rigidezze!J35</f>
        <v>15.515878552571367</v>
      </c>
      <c r="E44" s="23">
        <f>B44/D44</f>
        <v>90.972538813331738</v>
      </c>
      <c r="F44" s="23">
        <f>E44*C44/2</f>
        <v>145.55606210133078</v>
      </c>
      <c r="G44" s="23">
        <f>ROUND((F43+F44)/2,1)</f>
        <v>126.7</v>
      </c>
      <c r="H44" s="23">
        <f>2*G44/$H$6</f>
        <v>61.804878048780495</v>
      </c>
      <c r="I44" s="32">
        <f>I43+H44</f>
        <v>116.00000000000001</v>
      </c>
      <c r="K44" s="22"/>
      <c r="L44" s="23"/>
      <c r="M44" s="22"/>
      <c r="N44" s="23"/>
    </row>
    <row r="45" spans="1:22">
      <c r="A45" s="22">
        <v>2</v>
      </c>
      <c r="B45" s="23">
        <f>IF(Periodo!F30="","",Periodo!F30*$L$35)</f>
        <v>1660.6014559033263</v>
      </c>
      <c r="C45" s="24">
        <f t="shared" si="19"/>
        <v>3.2</v>
      </c>
      <c r="D45" s="24">
        <f>Rigidezze!J36</f>
        <v>15.515878552571367</v>
      </c>
      <c r="E45" s="23">
        <f>B45/D45</f>
        <v>107.0259379948629</v>
      </c>
      <c r="F45" s="23">
        <f>E45*C45/2</f>
        <v>171.24150079178065</v>
      </c>
      <c r="G45" s="23">
        <f>ROUND((F44+F45)/2,1)</f>
        <v>158.4</v>
      </c>
      <c r="H45" s="23">
        <f>2*G45/$H$6</f>
        <v>77.268292682926841</v>
      </c>
      <c r="I45" s="32">
        <f>I44+H45</f>
        <v>193.26829268292687</v>
      </c>
      <c r="K45" s="22"/>
      <c r="L45" s="23"/>
      <c r="M45" s="22"/>
      <c r="N45" s="23"/>
    </row>
    <row r="46" spans="1:22">
      <c r="A46" s="22" t="s">
        <v>50</v>
      </c>
      <c r="B46" s="23">
        <f>IF(Periodo!F31="","",Periodo!F31*$L$35)</f>
        <v>1777.6294800000001</v>
      </c>
      <c r="C46" s="24">
        <f t="shared" si="19"/>
        <v>3.6</v>
      </c>
      <c r="D46" s="24">
        <f>Rigidezze!J37</f>
        <v>15.843560602207697</v>
      </c>
      <c r="E46" s="23">
        <f>B46/D46</f>
        <v>112.1988626566871</v>
      </c>
      <c r="F46" s="23">
        <f>E46*C46*0.4</f>
        <v>161.56636222562943</v>
      </c>
      <c r="G46" s="23">
        <f>ROUND((F45+F46)/2,1)</f>
        <v>166.4</v>
      </c>
      <c r="H46" s="23">
        <f>2*G46/$H$6</f>
        <v>81.170731707317088</v>
      </c>
      <c r="I46" s="32">
        <f>I45+H46</f>
        <v>274.43902439024396</v>
      </c>
      <c r="K46" s="22"/>
      <c r="L46" s="23"/>
      <c r="M46" s="22"/>
      <c r="N46" s="23"/>
    </row>
    <row r="47" spans="1:22">
      <c r="A47" s="22" t="s">
        <v>51</v>
      </c>
      <c r="B47" s="22"/>
      <c r="C47" s="22"/>
      <c r="D47" s="23"/>
      <c r="F47" s="23">
        <f>E46*C46*0.6</f>
        <v>242.34954333844414</v>
      </c>
      <c r="I47" s="23"/>
      <c r="J47" s="25"/>
      <c r="L47" s="23"/>
      <c r="M47" s="22"/>
      <c r="N47" s="23"/>
    </row>
    <row r="48" spans="1:22">
      <c r="A48" s="22"/>
      <c r="B48" s="22"/>
      <c r="C48" s="22"/>
      <c r="D48" s="23"/>
      <c r="F48" s="23"/>
      <c r="I48" s="23"/>
      <c r="J48" s="25"/>
      <c r="L48" s="23"/>
      <c r="M48" s="22"/>
      <c r="N48" s="23"/>
    </row>
    <row r="49" spans="1:22">
      <c r="A49" s="16" t="s">
        <v>52</v>
      </c>
      <c r="B49" s="22"/>
      <c r="C49" s="22"/>
      <c r="D49" s="23"/>
      <c r="F49" s="23"/>
      <c r="I49" s="23"/>
      <c r="J49" s="25"/>
      <c r="K49" s="16" t="s">
        <v>53</v>
      </c>
      <c r="M49" s="22"/>
      <c r="N49" s="23"/>
    </row>
    <row r="50" spans="1:22">
      <c r="A50" s="19" t="s">
        <v>22</v>
      </c>
      <c r="B50" s="22"/>
      <c r="C50" s="22"/>
      <c r="D50" s="23"/>
      <c r="E50" s="19" t="s">
        <v>45</v>
      </c>
      <c r="F50" s="19" t="s">
        <v>46</v>
      </c>
      <c r="G50" s="20" t="s">
        <v>47</v>
      </c>
      <c r="H50" s="20" t="s">
        <v>48</v>
      </c>
      <c r="I50" s="21" t="s">
        <v>49</v>
      </c>
      <c r="J50" s="25"/>
      <c r="K50" s="20" t="s">
        <v>54</v>
      </c>
      <c r="L50" s="19" t="s">
        <v>46</v>
      </c>
      <c r="M50" s="22"/>
      <c r="N50" s="23"/>
    </row>
    <row r="51" spans="1:22">
      <c r="A51" s="22">
        <v>7</v>
      </c>
      <c r="B51" s="22"/>
      <c r="C51" s="22"/>
      <c r="D51" s="23"/>
      <c r="E51" s="19"/>
      <c r="F51" s="19"/>
      <c r="G51" s="20"/>
      <c r="H51" s="20"/>
      <c r="I51" s="32"/>
      <c r="J51" s="25"/>
      <c r="K51" s="20"/>
      <c r="L51" s="19"/>
      <c r="M51" s="22"/>
      <c r="N51" s="23"/>
      <c r="Q51" s="19"/>
      <c r="R51" s="19"/>
      <c r="S51" s="19"/>
      <c r="T51" s="20"/>
      <c r="U51" s="20"/>
      <c r="V51" s="21"/>
    </row>
    <row r="52" spans="1:22">
      <c r="A52" s="22">
        <v>6</v>
      </c>
      <c r="B52" s="22"/>
      <c r="C52" s="22"/>
      <c r="D52" s="23"/>
      <c r="E52" s="19"/>
      <c r="F52" s="19"/>
      <c r="G52" s="20"/>
      <c r="H52" s="20"/>
      <c r="I52" s="32"/>
      <c r="J52" s="25"/>
      <c r="K52" s="20"/>
      <c r="L52" s="19"/>
      <c r="M52" s="22"/>
      <c r="N52" s="23"/>
      <c r="Q52" s="19"/>
      <c r="R52" s="19"/>
      <c r="S52" s="19"/>
      <c r="T52" s="20"/>
      <c r="U52" s="20"/>
      <c r="V52" s="21"/>
    </row>
    <row r="53" spans="1:22">
      <c r="A53" s="22">
        <v>5</v>
      </c>
      <c r="B53" s="22"/>
      <c r="C53" s="22"/>
      <c r="D53" s="23"/>
      <c r="E53" s="23">
        <f>E42</f>
        <v>35.754863761644913</v>
      </c>
      <c r="F53" s="23">
        <f t="shared" ref="F53:G57" si="20">F42*0.9</f>
        <v>51.487003816768677</v>
      </c>
      <c r="G53" s="23">
        <f t="shared" si="20"/>
        <v>25.740000000000002</v>
      </c>
      <c r="H53" s="23">
        <f>H42</f>
        <v>13.951219512195124</v>
      </c>
      <c r="I53" s="32">
        <f>I42</f>
        <v>13.951219512195124</v>
      </c>
      <c r="J53" s="25"/>
      <c r="K53" s="22">
        <f>IF($F$3="Classe B",1.3,1.5)</f>
        <v>1.5</v>
      </c>
      <c r="L53" s="23">
        <f t="shared" ref="L53:L58" si="21">F53*K53</f>
        <v>77.230505725153023</v>
      </c>
      <c r="M53" s="22"/>
      <c r="N53" s="23"/>
    </row>
    <row r="54" spans="1:22">
      <c r="A54" s="22">
        <v>4</v>
      </c>
      <c r="B54" s="22"/>
      <c r="C54" s="22"/>
      <c r="D54" s="23"/>
      <c r="E54" s="23">
        <f>E43</f>
        <v>67.364598840491794</v>
      </c>
      <c r="F54" s="23">
        <f t="shared" si="20"/>
        <v>97.005022330308194</v>
      </c>
      <c r="G54" s="23">
        <f t="shared" si="20"/>
        <v>74.25</v>
      </c>
      <c r="H54" s="23">
        <f>H43</f>
        <v>40.243902439024396</v>
      </c>
      <c r="I54" s="32">
        <f>I43</f>
        <v>54.195121951219519</v>
      </c>
      <c r="J54" s="25"/>
      <c r="K54" s="22">
        <f>IF($F$3="Classe B",1.3,1.5)</f>
        <v>1.5</v>
      </c>
      <c r="L54" s="23">
        <f t="shared" si="21"/>
        <v>145.5075334954623</v>
      </c>
      <c r="M54" s="22"/>
      <c r="N54" s="23"/>
    </row>
    <row r="55" spans="1:22">
      <c r="A55" s="22">
        <v>3</v>
      </c>
      <c r="B55" s="22"/>
      <c r="C55" s="22"/>
      <c r="D55" s="23"/>
      <c r="E55" s="23">
        <f t="shared" ref="E55:E57" si="22">E44</f>
        <v>90.972538813331738</v>
      </c>
      <c r="F55" s="23">
        <f t="shared" si="20"/>
        <v>131.0004558911977</v>
      </c>
      <c r="G55" s="23">
        <f t="shared" si="20"/>
        <v>114.03</v>
      </c>
      <c r="H55" s="23">
        <f t="shared" ref="H55:I57" si="23">H44</f>
        <v>61.804878048780495</v>
      </c>
      <c r="I55" s="32">
        <f t="shared" si="23"/>
        <v>116.00000000000001</v>
      </c>
      <c r="J55" s="25"/>
      <c r="K55" s="22">
        <f>IF($F$3="Classe B",1.3,1.5)</f>
        <v>1.5</v>
      </c>
      <c r="L55" s="23">
        <f t="shared" si="21"/>
        <v>196.50068383679655</v>
      </c>
      <c r="M55" s="22"/>
      <c r="N55" s="23"/>
    </row>
    <row r="56" spans="1:22">
      <c r="A56" s="22">
        <v>2</v>
      </c>
      <c r="B56" s="22"/>
      <c r="C56" s="22"/>
      <c r="D56" s="23"/>
      <c r="E56" s="23">
        <f t="shared" si="22"/>
        <v>107.0259379948629</v>
      </c>
      <c r="F56" s="23">
        <f t="shared" si="20"/>
        <v>154.11735071260259</v>
      </c>
      <c r="G56" s="23">
        <f t="shared" si="20"/>
        <v>142.56</v>
      </c>
      <c r="H56" s="23">
        <f t="shared" si="23"/>
        <v>77.268292682926841</v>
      </c>
      <c r="I56" s="32">
        <f t="shared" si="23"/>
        <v>193.26829268292687</v>
      </c>
      <c r="J56" s="25"/>
      <c r="K56" s="22">
        <f>IF($F$3="Classe B",1.3,1.5)</f>
        <v>1.5</v>
      </c>
      <c r="L56" s="23">
        <f t="shared" si="21"/>
        <v>231.17602606890387</v>
      </c>
      <c r="M56" s="22"/>
      <c r="N56" s="23"/>
    </row>
    <row r="57" spans="1:22">
      <c r="A57" s="22" t="s">
        <v>50</v>
      </c>
      <c r="B57" s="22"/>
      <c r="C57" s="22"/>
      <c r="D57" s="23"/>
      <c r="E57" s="23">
        <f t="shared" si="22"/>
        <v>112.1988626566871</v>
      </c>
      <c r="F57" s="23">
        <f t="shared" si="20"/>
        <v>145.40972600306648</v>
      </c>
      <c r="G57" s="23">
        <f t="shared" si="20"/>
        <v>149.76000000000002</v>
      </c>
      <c r="H57" s="23">
        <f t="shared" si="23"/>
        <v>81.170731707317088</v>
      </c>
      <c r="I57" s="32">
        <f t="shared" si="23"/>
        <v>274.43902439024396</v>
      </c>
      <c r="J57" s="25"/>
      <c r="K57" s="22">
        <f>IF($F$3="Classe B",1.3,1.5)</f>
        <v>1.5</v>
      </c>
      <c r="L57" s="23">
        <f t="shared" si="21"/>
        <v>218.11458900459974</v>
      </c>
      <c r="M57" s="22"/>
      <c r="N57" s="23"/>
    </row>
    <row r="58" spans="1:22">
      <c r="A58" s="22" t="s">
        <v>51</v>
      </c>
      <c r="B58" s="22"/>
      <c r="C58" s="22"/>
      <c r="D58" s="23"/>
      <c r="F58" s="23">
        <f>F47</f>
        <v>242.34954333844414</v>
      </c>
      <c r="I58" s="23"/>
      <c r="J58" s="25"/>
      <c r="K58" s="22">
        <v>1</v>
      </c>
      <c r="L58" s="23">
        <f t="shared" si="21"/>
        <v>242.34954333844414</v>
      </c>
      <c r="M58" s="22"/>
      <c r="N58" s="23"/>
    </row>
    <row r="59" spans="1:22">
      <c r="A59" s="22"/>
      <c r="B59" s="22"/>
      <c r="C59" s="22"/>
      <c r="D59" s="23"/>
      <c r="E59" s="23"/>
      <c r="G59" s="24"/>
      <c r="I59" s="23"/>
    </row>
    <row r="60" spans="1:22" s="13" customFormat="1" ht="15" customHeight="1">
      <c r="A60" s="16" t="s">
        <v>55</v>
      </c>
      <c r="B60" s="22"/>
      <c r="C60" s="22"/>
      <c r="D60" s="23"/>
      <c r="E60" s="23"/>
      <c r="G60" s="24"/>
      <c r="I60" s="23"/>
      <c r="K60" s="16"/>
    </row>
    <row r="61" spans="1:22" s="13" customFormat="1" ht="15" customHeight="1">
      <c r="A61" s="19"/>
      <c r="C61" s="22"/>
      <c r="D61" s="15"/>
      <c r="E61" s="57" t="s">
        <v>105</v>
      </c>
      <c r="F61" s="19"/>
      <c r="G61" s="20"/>
      <c r="H61" s="20"/>
      <c r="I61" s="21"/>
      <c r="K61" s="20"/>
      <c r="L61" s="19"/>
    </row>
    <row r="62" spans="1:22" s="13" customFormat="1" ht="15" customHeight="1">
      <c r="A62" s="22"/>
      <c r="D62" s="24"/>
      <c r="E62" s="58" t="s">
        <v>106</v>
      </c>
      <c r="F62" s="23"/>
      <c r="G62" s="23"/>
      <c r="H62" s="23"/>
      <c r="I62" s="23"/>
      <c r="K62" s="22"/>
      <c r="L62" s="23"/>
    </row>
    <row r="63" spans="1:22" s="13" customFormat="1" ht="15" customHeight="1">
      <c r="A63" s="22"/>
      <c r="D63" s="24"/>
      <c r="E63" s="58" t="s">
        <v>107</v>
      </c>
      <c r="F63" s="23"/>
      <c r="G63" s="23"/>
      <c r="H63" s="23"/>
      <c r="I63" s="23"/>
      <c r="K63" s="22"/>
      <c r="L63" s="23"/>
    </row>
  </sheetData>
  <pageMargins left="0.7" right="0.7" top="0.75" bottom="0.75" header="0.3" footer="0.3"/>
  <pageSetup paperSize="9" orientation="portrait" r:id="rId1"/>
  <ignoredErrors>
    <ignoredError sqref="S23:S27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G22"/>
  <sheetViews>
    <sheetView workbookViewId="0">
      <selection activeCell="A3" sqref="A3"/>
    </sheetView>
  </sheetViews>
  <sheetFormatPr defaultRowHeight="15"/>
  <sheetData>
    <row r="1" spans="1:7" ht="15.75">
      <c r="A1" s="27" t="s">
        <v>70</v>
      </c>
    </row>
    <row r="2" spans="1:7">
      <c r="A2" t="s">
        <v>71</v>
      </c>
    </row>
    <row r="4" spans="1:7">
      <c r="A4" s="1" t="s">
        <v>61</v>
      </c>
      <c r="B4" s="1">
        <v>0.11899999999999999</v>
      </c>
      <c r="D4" s="1" t="s">
        <v>63</v>
      </c>
      <c r="E4" s="2">
        <f>B5/B4</f>
        <v>1.8067226890756303</v>
      </c>
    </row>
    <row r="5" spans="1:7">
      <c r="A5" s="1" t="s">
        <v>62</v>
      </c>
      <c r="B5" s="1">
        <v>0.215</v>
      </c>
    </row>
    <row r="7" spans="1:7">
      <c r="A7" s="1" t="s">
        <v>22</v>
      </c>
      <c r="B7" s="1" t="s">
        <v>69</v>
      </c>
      <c r="C7" s="1" t="s">
        <v>68</v>
      </c>
      <c r="D7" s="1" t="s">
        <v>29</v>
      </c>
      <c r="E7" s="28" t="s">
        <v>72</v>
      </c>
      <c r="F7" s="1" t="s">
        <v>64</v>
      </c>
      <c r="G7" s="1" t="s">
        <v>63</v>
      </c>
    </row>
    <row r="8" spans="1:7">
      <c r="A8" s="1" t="s">
        <v>34</v>
      </c>
      <c r="B8" s="2">
        <f>Periodo!I12</f>
        <v>12.830822108570285</v>
      </c>
      <c r="C8" s="2">
        <f>B8*$E$4</f>
        <v>23.181737423047153</v>
      </c>
      <c r="D8" s="2">
        <f t="shared" ref="D8:D10" si="0">C8-C9</f>
        <v>2.5124429825828685</v>
      </c>
      <c r="E8" s="2">
        <f>D8*1.2</f>
        <v>3.014931579099442</v>
      </c>
      <c r="F8" s="4">
        <f>3.2/0.2</f>
        <v>16</v>
      </c>
      <c r="G8" s="2">
        <f>F8/E8</f>
        <v>5.3069197692304479</v>
      </c>
    </row>
    <row r="9" spans="1:7">
      <c r="A9" s="1">
        <v>4</v>
      </c>
      <c r="B9" s="2">
        <f>Periodo!I13</f>
        <v>11.440214132163952</v>
      </c>
      <c r="C9" s="2">
        <f>B9*$E$4</f>
        <v>20.669294440464284</v>
      </c>
      <c r="D9" s="2">
        <f t="shared" si="0"/>
        <v>3.925421990150415</v>
      </c>
      <c r="E9" s="2">
        <f t="shared" ref="E9:E12" si="1">D9*1.2</f>
        <v>4.710506388180498</v>
      </c>
      <c r="F9" s="4">
        <f t="shared" ref="F9:F11" si="2">3.2/0.2</f>
        <v>16</v>
      </c>
      <c r="G9" s="2">
        <f t="shared" ref="G9:G12" si="3">F9/E9</f>
        <v>3.3966624140765118</v>
      </c>
    </row>
    <row r="10" spans="1:7">
      <c r="A10" s="1">
        <v>3</v>
      </c>
      <c r="B10" s="2">
        <f>Periodo!I14</f>
        <v>9.2675387050574436</v>
      </c>
      <c r="C10" s="2">
        <f t="shared" ref="C10:C12" si="4">B10*$E$4</f>
        <v>16.743872450313869</v>
      </c>
      <c r="D10" s="2">
        <f t="shared" si="0"/>
        <v>5.3010870769561329</v>
      </c>
      <c r="E10" s="2">
        <f t="shared" si="1"/>
        <v>6.361304492347359</v>
      </c>
      <c r="F10" s="4">
        <f t="shared" si="2"/>
        <v>16</v>
      </c>
      <c r="G10" s="2">
        <f t="shared" si="3"/>
        <v>2.5152073791229426</v>
      </c>
    </row>
    <row r="11" spans="1:7">
      <c r="A11" s="1">
        <v>2</v>
      </c>
      <c r="B11" s="2">
        <f>Periodo!I15</f>
        <v>6.3334486485096306</v>
      </c>
      <c r="C11" s="2">
        <f t="shared" si="4"/>
        <v>11.442785373357736</v>
      </c>
      <c r="D11" s="2">
        <f>C11-C12</f>
        <v>6.2365393359840144</v>
      </c>
      <c r="E11" s="2">
        <f t="shared" si="1"/>
        <v>7.483847203180817</v>
      </c>
      <c r="F11" s="4">
        <f t="shared" si="2"/>
        <v>16</v>
      </c>
      <c r="G11" s="2">
        <f t="shared" si="3"/>
        <v>2.1379378233697248</v>
      </c>
    </row>
    <row r="12" spans="1:7">
      <c r="A12" s="1">
        <v>1</v>
      </c>
      <c r="B12" s="2">
        <f>Periodo!I16</f>
        <v>2.8815966439417346</v>
      </c>
      <c r="C12" s="2">
        <f t="shared" si="4"/>
        <v>5.206246037373722</v>
      </c>
      <c r="D12" s="2">
        <f>C12</f>
        <v>5.206246037373722</v>
      </c>
      <c r="E12" s="2">
        <f t="shared" si="1"/>
        <v>6.2474952448484666</v>
      </c>
      <c r="F12" s="4">
        <f>3.6/0.2</f>
        <v>18</v>
      </c>
      <c r="G12" s="2">
        <f t="shared" si="3"/>
        <v>2.8811546539138808</v>
      </c>
    </row>
    <row r="13" spans="1:7">
      <c r="A13" s="1"/>
      <c r="F13" s="1" t="s">
        <v>65</v>
      </c>
      <c r="G13" s="2">
        <f>MIN(G8:G12)</f>
        <v>2.1379378233697248</v>
      </c>
    </row>
    <row r="15" spans="1:7">
      <c r="A15" t="s">
        <v>73</v>
      </c>
    </row>
    <row r="16" spans="1:7">
      <c r="A16" s="1" t="s">
        <v>74</v>
      </c>
      <c r="B16" s="1">
        <v>8.2000000000000003E-2</v>
      </c>
      <c r="C16" t="s">
        <v>75</v>
      </c>
      <c r="D16" s="1" t="s">
        <v>76</v>
      </c>
      <c r="E16" s="1">
        <v>50</v>
      </c>
      <c r="F16" t="s">
        <v>77</v>
      </c>
    </row>
    <row r="18" spans="1:6">
      <c r="A18" t="s">
        <v>78</v>
      </c>
      <c r="C18" s="2">
        <f>G13</f>
        <v>2.1379378233697248</v>
      </c>
    </row>
    <row r="19" spans="1:6">
      <c r="A19" t="s">
        <v>79</v>
      </c>
    </row>
    <row r="20" spans="1:6">
      <c r="A20" s="1" t="s">
        <v>74</v>
      </c>
      <c r="B20" s="7">
        <f>B16*C18</f>
        <v>0.17531090151631745</v>
      </c>
      <c r="C20" t="s">
        <v>75</v>
      </c>
      <c r="D20" s="1" t="s">
        <v>76</v>
      </c>
      <c r="E20" s="1">
        <v>221</v>
      </c>
      <c r="F20" t="s">
        <v>77</v>
      </c>
    </row>
    <row r="22" spans="1:6">
      <c r="A22" t="s">
        <v>80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Rigidezza-glob</vt:lpstr>
      <vt:lpstr>Periodo-glob</vt:lpstr>
      <vt:lpstr>Rigidezze</vt:lpstr>
      <vt:lpstr>Periodo</vt:lpstr>
      <vt:lpstr>Car.Soll.</vt:lpstr>
      <vt:lpstr>SLD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</dc:creator>
  <cp:lastModifiedBy>Aurelio Ghersi</cp:lastModifiedBy>
  <dcterms:created xsi:type="dcterms:W3CDTF">2017-08-23T13:12:08Z</dcterms:created>
  <dcterms:modified xsi:type="dcterms:W3CDTF">2018-02-26T18:02:48Z</dcterms:modified>
</cp:coreProperties>
</file>