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480" yWindow="135" windowWidth="18195" windowHeight="10545" tabRatio="632"/>
  </bookViews>
  <sheets>
    <sheet name="Travi" sheetId="10" r:id="rId1"/>
    <sheet name="Pilastri" sheetId="11" r:id="rId2"/>
    <sheet name="Masse" sheetId="5" r:id="rId3"/>
    <sheet name="Spettri di risposta" sheetId="12" r:id="rId4"/>
    <sheet name="Forze" sheetId="7" r:id="rId5"/>
    <sheet name="Car.Soll." sheetId="8" r:id="rId6"/>
    <sheet name="Dimensionamento" sheetId="9" r:id="rId7"/>
  </sheets>
  <calcPr calcId="125725"/>
</workbook>
</file>

<file path=xl/calcChain.xml><?xml version="1.0" encoding="utf-8"?>
<calcChain xmlns="http://schemas.openxmlformats.org/spreadsheetml/2006/main">
  <c r="B19" i="7"/>
  <c r="D19" s="1"/>
  <c r="J11"/>
  <c r="Z52" i="12" l="1"/>
  <c r="X52"/>
  <c r="V52"/>
  <c r="T52"/>
  <c r="R52"/>
  <c r="X37"/>
  <c r="X50" s="1"/>
  <c r="I23"/>
  <c r="I24" s="1"/>
  <c r="F20"/>
  <c r="F19"/>
  <c r="V37" s="1"/>
  <c r="F18"/>
  <c r="T37" s="1"/>
  <c r="F17"/>
  <c r="R37" s="1"/>
  <c r="E13"/>
  <c r="AC7"/>
  <c r="AD6"/>
  <c r="AE5"/>
  <c r="AD5"/>
  <c r="E19" s="1"/>
  <c r="Z5"/>
  <c r="AG4"/>
  <c r="AF4"/>
  <c r="AE4"/>
  <c r="AD4"/>
  <c r="B20" s="1"/>
  <c r="C20" s="1"/>
  <c r="R49" l="1"/>
  <c r="R45"/>
  <c r="R41"/>
  <c r="R51"/>
  <c r="R50"/>
  <c r="R46"/>
  <c r="R42"/>
  <c r="R38"/>
  <c r="R48"/>
  <c r="R47"/>
  <c r="R43"/>
  <c r="R39"/>
  <c r="R44"/>
  <c r="R40"/>
  <c r="V51"/>
  <c r="Z51" s="1"/>
  <c r="V47"/>
  <c r="Z47" s="1"/>
  <c r="V43"/>
  <c r="Z43" s="1"/>
  <c r="V39"/>
  <c r="Z39" s="1"/>
  <c r="Z37"/>
  <c r="V42"/>
  <c r="Z42" s="1"/>
  <c r="V38"/>
  <c r="Z38" s="1"/>
  <c r="V48"/>
  <c r="Z48" s="1"/>
  <c r="V44"/>
  <c r="Z44" s="1"/>
  <c r="V40"/>
  <c r="Z40" s="1"/>
  <c r="V41"/>
  <c r="Z41" s="1"/>
  <c r="V49"/>
  <c r="Z49" s="1"/>
  <c r="V45"/>
  <c r="Z45" s="1"/>
  <c r="V50"/>
  <c r="Z50" s="1"/>
  <c r="V46"/>
  <c r="Z46" s="1"/>
  <c r="Y5"/>
  <c r="G20"/>
  <c r="L24"/>
  <c r="I25"/>
  <c r="T48"/>
  <c r="T44"/>
  <c r="T40"/>
  <c r="T50"/>
  <c r="T42"/>
  <c r="T46"/>
  <c r="T51"/>
  <c r="T49"/>
  <c r="T45"/>
  <c r="T41"/>
  <c r="T38"/>
  <c r="T43"/>
  <c r="T39"/>
  <c r="T47"/>
  <c r="V7"/>
  <c r="D19"/>
  <c r="X41"/>
  <c r="X40"/>
  <c r="X48"/>
  <c r="L23"/>
  <c r="X44"/>
  <c r="X39"/>
  <c r="X43"/>
  <c r="X47"/>
  <c r="X51"/>
  <c r="E18"/>
  <c r="E20"/>
  <c r="X45"/>
  <c r="X49"/>
  <c r="E17"/>
  <c r="B17"/>
  <c r="C17" s="1"/>
  <c r="B18"/>
  <c r="C18" s="1"/>
  <c r="B19"/>
  <c r="C19" s="1"/>
  <c r="X38"/>
  <c r="X42"/>
  <c r="X46"/>
  <c r="G18" l="1"/>
  <c r="U6" s="1"/>
  <c r="U7" s="1"/>
  <c r="U5"/>
  <c r="G29"/>
  <c r="G25"/>
  <c r="V6"/>
  <c r="Z6" s="1"/>
  <c r="I26"/>
  <c r="L26" s="1"/>
  <c r="L25"/>
  <c r="X7"/>
  <c r="D20"/>
  <c r="T7"/>
  <c r="D18"/>
  <c r="D17"/>
  <c r="R7"/>
  <c r="O6"/>
  <c r="Y6"/>
  <c r="Y7" s="1"/>
  <c r="W5"/>
  <c r="AA5" s="1"/>
  <c r="G19"/>
  <c r="S5"/>
  <c r="G17"/>
  <c r="S6" s="1"/>
  <c r="S7" s="1"/>
  <c r="V35"/>
  <c r="Z35" s="1"/>
  <c r="V31"/>
  <c r="Z31" s="1"/>
  <c r="V28"/>
  <c r="Z28" s="1"/>
  <c r="V15"/>
  <c r="Z15" s="1"/>
  <c r="V25"/>
  <c r="Z25" s="1"/>
  <c r="V21"/>
  <c r="Z21" s="1"/>
  <c r="V13"/>
  <c r="Z13" s="1"/>
  <c r="V23"/>
  <c r="Z23" s="1"/>
  <c r="V12"/>
  <c r="Z12" s="1"/>
  <c r="V8"/>
  <c r="Z8" s="1"/>
  <c r="Z7"/>
  <c r="V14"/>
  <c r="Z14" s="1"/>
  <c r="V36"/>
  <c r="Z36" s="1"/>
  <c r="V32"/>
  <c r="Z32" s="1"/>
  <c r="V20"/>
  <c r="Z20" s="1"/>
  <c r="V19"/>
  <c r="Z19" s="1"/>
  <c r="V18"/>
  <c r="Z18" s="1"/>
  <c r="V17"/>
  <c r="Z17" s="1"/>
  <c r="V16"/>
  <c r="Z16" s="1"/>
  <c r="V29"/>
  <c r="Z29" s="1"/>
  <c r="V26"/>
  <c r="Z26" s="1"/>
  <c r="V34"/>
  <c r="Z34" s="1"/>
  <c r="V27"/>
  <c r="Z27" s="1"/>
  <c r="V11"/>
  <c r="Z11" s="1"/>
  <c r="V9"/>
  <c r="Z9" s="1"/>
  <c r="V33"/>
  <c r="Z33" s="1"/>
  <c r="V24"/>
  <c r="Z24" s="1"/>
  <c r="V10"/>
  <c r="Z10" s="1"/>
  <c r="V30"/>
  <c r="Z30" s="1"/>
  <c r="V22"/>
  <c r="Z22" s="1"/>
  <c r="M24" l="1"/>
  <c r="C24" i="7"/>
  <c r="T6" i="12"/>
  <c r="G24"/>
  <c r="C25" i="7" s="1"/>
  <c r="W6" i="12"/>
  <c r="F29"/>
  <c r="G26"/>
  <c r="J26" s="1"/>
  <c r="X6"/>
  <c r="U10"/>
  <c r="U50"/>
  <c r="U42"/>
  <c r="U34"/>
  <c r="U52"/>
  <c r="U48"/>
  <c r="U44"/>
  <c r="U40"/>
  <c r="U36"/>
  <c r="U32"/>
  <c r="U20"/>
  <c r="U9"/>
  <c r="U45"/>
  <c r="U29"/>
  <c r="U46"/>
  <c r="U49"/>
  <c r="U37"/>
  <c r="U33"/>
  <c r="U26"/>
  <c r="U51"/>
  <c r="U47"/>
  <c r="U43"/>
  <c r="U39"/>
  <c r="U35"/>
  <c r="U31"/>
  <c r="U28"/>
  <c r="U41"/>
  <c r="U38"/>
  <c r="U27"/>
  <c r="U14"/>
  <c r="G23"/>
  <c r="D25" s="1"/>
  <c r="R6"/>
  <c r="T36"/>
  <c r="T32"/>
  <c r="T20"/>
  <c r="T19"/>
  <c r="U19" s="1"/>
  <c r="T18"/>
  <c r="U18" s="1"/>
  <c r="T17"/>
  <c r="U17" s="1"/>
  <c r="T16"/>
  <c r="U16" s="1"/>
  <c r="T23"/>
  <c r="U23" s="1"/>
  <c r="T10"/>
  <c r="T28"/>
  <c r="T9"/>
  <c r="T13"/>
  <c r="U13" s="1"/>
  <c r="T30"/>
  <c r="U30" s="1"/>
  <c r="T27"/>
  <c r="T11"/>
  <c r="U11" s="1"/>
  <c r="T35"/>
  <c r="T31"/>
  <c r="T33"/>
  <c r="T29"/>
  <c r="T26"/>
  <c r="T25"/>
  <c r="U25" s="1"/>
  <c r="T24"/>
  <c r="U24" s="1"/>
  <c r="T21"/>
  <c r="U21" s="1"/>
  <c r="T22"/>
  <c r="U22" s="1"/>
  <c r="T14"/>
  <c r="T12"/>
  <c r="U12" s="1"/>
  <c r="T8"/>
  <c r="U8" s="1"/>
  <c r="T34"/>
  <c r="T15"/>
  <c r="U15" s="1"/>
  <c r="M23"/>
  <c r="J25"/>
  <c r="R33"/>
  <c r="R29"/>
  <c r="R26"/>
  <c r="R25"/>
  <c r="S25" s="1"/>
  <c r="R24"/>
  <c r="S24" s="1"/>
  <c r="R21"/>
  <c r="S21" s="1"/>
  <c r="R13"/>
  <c r="S13" s="1"/>
  <c r="R12"/>
  <c r="R23"/>
  <c r="R10"/>
  <c r="R35"/>
  <c r="R15"/>
  <c r="S15" s="1"/>
  <c r="R8"/>
  <c r="S8" s="1"/>
  <c r="R18"/>
  <c r="S18" s="1"/>
  <c r="R16"/>
  <c r="R34"/>
  <c r="R30"/>
  <c r="R27"/>
  <c r="R22"/>
  <c r="R14"/>
  <c r="S14" s="1"/>
  <c r="R11"/>
  <c r="S11" s="1"/>
  <c r="R28"/>
  <c r="R36"/>
  <c r="R32"/>
  <c r="R9"/>
  <c r="R31"/>
  <c r="R20"/>
  <c r="R19"/>
  <c r="S19" s="1"/>
  <c r="R17"/>
  <c r="Y43"/>
  <c r="Y50"/>
  <c r="Y46"/>
  <c r="Y42"/>
  <c r="Y38"/>
  <c r="Y11"/>
  <c r="Y39"/>
  <c r="Y12"/>
  <c r="Y52"/>
  <c r="Y40"/>
  <c r="Y51"/>
  <c r="Y47"/>
  <c r="Y49"/>
  <c r="Y45"/>
  <c r="Y41"/>
  <c r="Y37"/>
  <c r="Y26"/>
  <c r="Y28"/>
  <c r="Y15"/>
  <c r="Y8"/>
  <c r="Y48"/>
  <c r="Y44"/>
  <c r="S9"/>
  <c r="S38"/>
  <c r="S34"/>
  <c r="S28"/>
  <c r="S49"/>
  <c r="S45"/>
  <c r="S41"/>
  <c r="S37"/>
  <c r="S33"/>
  <c r="S29"/>
  <c r="S26"/>
  <c r="S10"/>
  <c r="S27"/>
  <c r="S22"/>
  <c r="S47"/>
  <c r="S39"/>
  <c r="S35"/>
  <c r="S31"/>
  <c r="S23"/>
  <c r="S46"/>
  <c r="S42"/>
  <c r="S30"/>
  <c r="S43"/>
  <c r="S12"/>
  <c r="S52"/>
  <c r="S48"/>
  <c r="S44"/>
  <c r="S40"/>
  <c r="S36"/>
  <c r="S32"/>
  <c r="S20"/>
  <c r="S17"/>
  <c r="S16"/>
  <c r="S50"/>
  <c r="S51"/>
  <c r="X34"/>
  <c r="Y34" s="1"/>
  <c r="X30"/>
  <c r="Y30" s="1"/>
  <c r="X27"/>
  <c r="Y27" s="1"/>
  <c r="X22"/>
  <c r="Y22" s="1"/>
  <c r="X14"/>
  <c r="Y14" s="1"/>
  <c r="X18"/>
  <c r="Y18" s="1"/>
  <c r="X13"/>
  <c r="Y13" s="1"/>
  <c r="X11"/>
  <c r="X19"/>
  <c r="Y19" s="1"/>
  <c r="X17"/>
  <c r="Y17" s="1"/>
  <c r="X9"/>
  <c r="Y9" s="1"/>
  <c r="X24"/>
  <c r="Y24" s="1"/>
  <c r="X21"/>
  <c r="Y21" s="1"/>
  <c r="X35"/>
  <c r="Y35" s="1"/>
  <c r="X31"/>
  <c r="Y31" s="1"/>
  <c r="X28"/>
  <c r="X15"/>
  <c r="X8"/>
  <c r="X32"/>
  <c r="Y32" s="1"/>
  <c r="X16"/>
  <c r="Y16" s="1"/>
  <c r="X33"/>
  <c r="Y33" s="1"/>
  <c r="X29"/>
  <c r="Y29" s="1"/>
  <c r="X23"/>
  <c r="Y23" s="1"/>
  <c r="X10"/>
  <c r="Y10" s="1"/>
  <c r="X12"/>
  <c r="X36"/>
  <c r="Y36" s="1"/>
  <c r="X20"/>
  <c r="Y20" s="1"/>
  <c r="X26"/>
  <c r="X25"/>
  <c r="Y25" s="1"/>
  <c r="M26" l="1"/>
  <c r="J24"/>
  <c r="AA6"/>
  <c r="W7"/>
  <c r="J23"/>
  <c r="M25"/>
  <c r="D26"/>
  <c r="W11" l="1"/>
  <c r="AA11" s="1"/>
  <c r="W40"/>
  <c r="AA40" s="1"/>
  <c r="W20"/>
  <c r="AA20" s="1"/>
  <c r="AA7"/>
  <c r="W45"/>
  <c r="AA45" s="1"/>
  <c r="W29"/>
  <c r="AA29" s="1"/>
  <c r="W10"/>
  <c r="AA10" s="1"/>
  <c r="W51"/>
  <c r="AA51" s="1"/>
  <c r="W47"/>
  <c r="AA47" s="1"/>
  <c r="W43"/>
  <c r="AA43" s="1"/>
  <c r="W39"/>
  <c r="AA39" s="1"/>
  <c r="W35"/>
  <c r="AA35" s="1"/>
  <c r="W31"/>
  <c r="AA31" s="1"/>
  <c r="W28"/>
  <c r="AA28" s="1"/>
  <c r="W15"/>
  <c r="AA15" s="1"/>
  <c r="W52"/>
  <c r="AA52" s="1"/>
  <c r="W36"/>
  <c r="AA36" s="1"/>
  <c r="W32"/>
  <c r="AA32" s="1"/>
  <c r="W16"/>
  <c r="AA16" s="1"/>
  <c r="W9"/>
  <c r="AA9" s="1"/>
  <c r="W49"/>
  <c r="AA49" s="1"/>
  <c r="W37"/>
  <c r="AA37" s="1"/>
  <c r="W26"/>
  <c r="AA26" s="1"/>
  <c r="W24"/>
  <c r="AA24" s="1"/>
  <c r="W13"/>
  <c r="AA13" s="1"/>
  <c r="W12"/>
  <c r="AA12" s="1"/>
  <c r="W8"/>
  <c r="AA8" s="1"/>
  <c r="W48"/>
  <c r="AA48" s="1"/>
  <c r="W44"/>
  <c r="AA44" s="1"/>
  <c r="W19"/>
  <c r="AA19" s="1"/>
  <c r="W17"/>
  <c r="AA17" s="1"/>
  <c r="W50"/>
  <c r="AA50" s="1"/>
  <c r="W46"/>
  <c r="AA46" s="1"/>
  <c r="W42"/>
  <c r="AA42" s="1"/>
  <c r="W38"/>
  <c r="AA38" s="1"/>
  <c r="W34"/>
  <c r="AA34" s="1"/>
  <c r="W30"/>
  <c r="AA30" s="1"/>
  <c r="W27"/>
  <c r="AA27" s="1"/>
  <c r="W22"/>
  <c r="AA22" s="1"/>
  <c r="W14"/>
  <c r="AA14" s="1"/>
  <c r="W18"/>
  <c r="AA18" s="1"/>
  <c r="W41"/>
  <c r="AA41" s="1"/>
  <c r="W33"/>
  <c r="AA33" s="1"/>
  <c r="W25"/>
  <c r="AA25" s="1"/>
  <c r="W21"/>
  <c r="AA21" s="1"/>
  <c r="W23"/>
  <c r="AA23" s="1"/>
  <c r="M19" i="10" l="1"/>
  <c r="L19"/>
  <c r="M9"/>
  <c r="L9"/>
  <c r="E19"/>
  <c r="D19"/>
  <c r="E9"/>
  <c r="D9"/>
  <c r="M10" i="11"/>
  <c r="M11"/>
  <c r="M12" s="1"/>
  <c r="M13" s="1"/>
  <c r="M14" s="1"/>
  <c r="M15" s="1"/>
  <c r="L15"/>
  <c r="L14"/>
  <c r="L13"/>
  <c r="L12"/>
  <c r="L11"/>
  <c r="L10"/>
  <c r="M27"/>
  <c r="M28" s="1"/>
  <c r="M29" s="1"/>
  <c r="M30" s="1"/>
  <c r="M31" s="1"/>
  <c r="L27"/>
  <c r="L28" s="1"/>
  <c r="L29" s="1"/>
  <c r="L30" s="1"/>
  <c r="L31" s="1"/>
  <c r="E27"/>
  <c r="E28" s="1"/>
  <c r="E29" s="1"/>
  <c r="E30" s="1"/>
  <c r="E31" s="1"/>
  <c r="D27"/>
  <c r="D28" s="1"/>
  <c r="D29" s="1"/>
  <c r="D30" s="1"/>
  <c r="D31" s="1"/>
  <c r="E11"/>
  <c r="E12"/>
  <c r="E13" s="1"/>
  <c r="E14" s="1"/>
  <c r="E15" s="1"/>
  <c r="D15"/>
  <c r="D14"/>
  <c r="D13"/>
  <c r="D12"/>
  <c r="D11"/>
  <c r="G45" i="9" l="1"/>
  <c r="C45"/>
  <c r="G33"/>
  <c r="C33"/>
  <c r="C13" i="8"/>
  <c r="C44" s="1"/>
  <c r="C14"/>
  <c r="C45" s="1"/>
  <c r="C15"/>
  <c r="C46" s="1"/>
  <c r="C16"/>
  <c r="C47" s="1"/>
  <c r="C12"/>
  <c r="C43" s="1"/>
  <c r="F3"/>
  <c r="K54" s="1"/>
  <c r="D43"/>
  <c r="D44" s="1"/>
  <c r="D45" s="1"/>
  <c r="D46" s="1"/>
  <c r="D47" s="1"/>
  <c r="D12"/>
  <c r="D13" s="1"/>
  <c r="D14" s="1"/>
  <c r="D15" s="1"/>
  <c r="D16" s="1"/>
  <c r="I26" i="7"/>
  <c r="I27"/>
  <c r="I28"/>
  <c r="I29"/>
  <c r="I25"/>
  <c r="H26"/>
  <c r="H27"/>
  <c r="H28"/>
  <c r="H29"/>
  <c r="H25"/>
  <c r="K56" i="8" l="1"/>
  <c r="K55"/>
  <c r="K58"/>
  <c r="K57"/>
  <c r="K25"/>
  <c r="K23"/>
  <c r="K26"/>
  <c r="K24"/>
  <c r="K27"/>
  <c r="I3"/>
  <c r="J29" i="7"/>
  <c r="H30"/>
  <c r="J27"/>
  <c r="J26"/>
  <c r="J28"/>
  <c r="J25"/>
  <c r="B11"/>
  <c r="B10" s="1"/>
  <c r="B9" s="1"/>
  <c r="B8" s="1"/>
  <c r="B7" s="1"/>
  <c r="B17" s="1"/>
  <c r="L5"/>
  <c r="L7"/>
  <c r="L6"/>
  <c r="B8" i="5"/>
  <c r="H12"/>
  <c r="J30" i="7" l="1"/>
  <c r="I9"/>
  <c r="H32" l="1"/>
  <c r="C27" l="1"/>
  <c r="K25"/>
  <c r="K29"/>
  <c r="K28"/>
  <c r="K27"/>
  <c r="K26"/>
  <c r="L25" l="1"/>
  <c r="K30"/>
  <c r="D13" i="5"/>
  <c r="D12"/>
  <c r="K11"/>
  <c r="B11"/>
  <c r="D11" s="1"/>
  <c r="L8"/>
  <c r="K8"/>
  <c r="L7"/>
  <c r="L26" i="7" l="1"/>
  <c r="B12" i="8"/>
  <c r="K9" i="5"/>
  <c r="M8"/>
  <c r="C8" i="7" s="1"/>
  <c r="L9" i="5"/>
  <c r="L10" s="1"/>
  <c r="L11" s="1"/>
  <c r="M11" s="1"/>
  <c r="C11" i="7" s="1"/>
  <c r="K7" i="5"/>
  <c r="M7" s="1"/>
  <c r="C7" i="7" s="1"/>
  <c r="L27" l="1"/>
  <c r="B13" i="8"/>
  <c r="E12"/>
  <c r="B43"/>
  <c r="E43" s="1"/>
  <c r="K10" i="5"/>
  <c r="M10" s="1"/>
  <c r="C10" i="7" s="1"/>
  <c r="M9" i="5"/>
  <c r="E13" i="8" l="1"/>
  <c r="B44"/>
  <c r="E44" s="1"/>
  <c r="E23"/>
  <c r="F12"/>
  <c r="L28" i="7"/>
  <c r="B14" i="8"/>
  <c r="E54"/>
  <c r="F43"/>
  <c r="M12" i="5"/>
  <c r="C9" i="7"/>
  <c r="C12" s="1"/>
  <c r="F54" i="8" l="1"/>
  <c r="G43"/>
  <c r="E24"/>
  <c r="F13"/>
  <c r="B45"/>
  <c r="E45" s="1"/>
  <c r="E14"/>
  <c r="E55"/>
  <c r="F44"/>
  <c r="G44" s="1"/>
  <c r="G12"/>
  <c r="G13"/>
  <c r="F23"/>
  <c r="L29" i="7"/>
  <c r="B16" i="8" s="1"/>
  <c r="B15"/>
  <c r="G55" l="1"/>
  <c r="C22" i="9" s="1"/>
  <c r="C24" s="1"/>
  <c r="H44" i="8"/>
  <c r="H55" s="1"/>
  <c r="G54"/>
  <c r="H43"/>
  <c r="L54"/>
  <c r="G23"/>
  <c r="H12"/>
  <c r="L23"/>
  <c r="B47"/>
  <c r="E47" s="1"/>
  <c r="E16"/>
  <c r="F24"/>
  <c r="B46"/>
  <c r="E46" s="1"/>
  <c r="E15"/>
  <c r="E56"/>
  <c r="F45"/>
  <c r="F55"/>
  <c r="G24"/>
  <c r="H13"/>
  <c r="E25"/>
  <c r="F14"/>
  <c r="L55" l="1"/>
  <c r="F25"/>
  <c r="L25" s="1"/>
  <c r="F56"/>
  <c r="E58"/>
  <c r="F48"/>
  <c r="F59" s="1"/>
  <c r="F47"/>
  <c r="F58" s="1"/>
  <c r="L24"/>
  <c r="G45"/>
  <c r="G14"/>
  <c r="H54"/>
  <c r="I43"/>
  <c r="E27"/>
  <c r="F17"/>
  <c r="F28" s="1"/>
  <c r="F16"/>
  <c r="F27" s="1"/>
  <c r="H24"/>
  <c r="E57"/>
  <c r="F46"/>
  <c r="G46" s="1"/>
  <c r="E26"/>
  <c r="F15"/>
  <c r="H23"/>
  <c r="I12"/>
  <c r="C36" i="9" l="1"/>
  <c r="C30"/>
  <c r="G57" i="8"/>
  <c r="C17" i="9" s="1"/>
  <c r="C19" s="1"/>
  <c r="H46" i="8"/>
  <c r="H57" s="1"/>
  <c r="L59"/>
  <c r="L58"/>
  <c r="F26"/>
  <c r="G16"/>
  <c r="G25"/>
  <c r="H14"/>
  <c r="L56"/>
  <c r="L28"/>
  <c r="G56"/>
  <c r="H45"/>
  <c r="H56" s="1"/>
  <c r="L27"/>
  <c r="I23"/>
  <c r="I13"/>
  <c r="F57"/>
  <c r="G47"/>
  <c r="I54"/>
  <c r="I44"/>
  <c r="G15"/>
  <c r="G26" l="1"/>
  <c r="H15"/>
  <c r="I55"/>
  <c r="I45"/>
  <c r="I24"/>
  <c r="I14"/>
  <c r="L57"/>
  <c r="L26"/>
  <c r="H25"/>
  <c r="G58"/>
  <c r="C12" i="9" s="1"/>
  <c r="C14" s="1"/>
  <c r="H47" i="8"/>
  <c r="H58" s="1"/>
  <c r="G27"/>
  <c r="C7" i="9" s="1"/>
  <c r="C9" s="1"/>
  <c r="H16" i="8"/>
  <c r="C42" i="9" l="1"/>
  <c r="C48"/>
  <c r="H26" i="8"/>
  <c r="H27"/>
  <c r="I56"/>
  <c r="I46"/>
  <c r="I25"/>
  <c r="I15"/>
  <c r="I26" l="1"/>
  <c r="C49" i="9" s="1"/>
  <c r="I16" i="8"/>
  <c r="I27" s="1"/>
  <c r="C37" i="9" s="1"/>
  <c r="I57" i="8"/>
  <c r="I47"/>
  <c r="I58" s="1"/>
  <c r="C51" i="9" l="1"/>
  <c r="G51"/>
  <c r="G39"/>
  <c r="C39"/>
</calcChain>
</file>

<file path=xl/sharedStrings.xml><?xml version="1.0" encoding="utf-8"?>
<sst xmlns="http://schemas.openxmlformats.org/spreadsheetml/2006/main" count="469" uniqueCount="188">
  <si>
    <t>kN/m</t>
  </si>
  <si>
    <t>gd+qd</t>
  </si>
  <si>
    <t>Campata</t>
  </si>
  <si>
    <r>
      <t>gk+</t>
    </r>
    <r>
      <rPr>
        <sz val="11"/>
        <color theme="1"/>
        <rFont val="Symbol"/>
        <family val="1"/>
        <charset val="2"/>
      </rPr>
      <t>y</t>
    </r>
    <r>
      <rPr>
        <sz val="11"/>
        <color theme="1"/>
        <rFont val="Calibri"/>
        <family val="2"/>
        <scheme val="minor"/>
      </rPr>
      <t>2 qk</t>
    </r>
  </si>
  <si>
    <t>21-14</t>
  </si>
  <si>
    <t>16-17</t>
  </si>
  <si>
    <t>PILASTRO</t>
  </si>
  <si>
    <t>Pilastri</t>
  </si>
  <si>
    <t>kN</t>
  </si>
  <si>
    <t>15 (centrale)</t>
  </si>
  <si>
    <t>7 (laterale)</t>
  </si>
  <si>
    <t>1 (angolo)</t>
  </si>
  <si>
    <t>Masse di piano</t>
  </si>
  <si>
    <t>Stima delle masse di piano</t>
  </si>
  <si>
    <t>Peso delle masse di piano</t>
  </si>
  <si>
    <t>piano</t>
  </si>
  <si>
    <t>peso un.</t>
  </si>
  <si>
    <t>W [kN]</t>
  </si>
  <si>
    <t>torrino</t>
  </si>
  <si>
    <t>5 + torrino</t>
  </si>
  <si>
    <t>quinto impalcato</t>
  </si>
  <si>
    <t>peso medio</t>
  </si>
  <si>
    <t>peso</t>
  </si>
  <si>
    <t>torrino + V impalcato</t>
  </si>
  <si>
    <t>piano tipo</t>
  </si>
  <si>
    <t>Totale</t>
  </si>
  <si>
    <t>primo piano</t>
  </si>
  <si>
    <t>suolo</t>
  </si>
  <si>
    <t>C</t>
  </si>
  <si>
    <t>SLV</t>
  </si>
  <si>
    <t>T1</t>
  </si>
  <si>
    <t>SLD</t>
  </si>
  <si>
    <t>m</t>
  </si>
  <si>
    <t>C1</t>
  </si>
  <si>
    <t>s</t>
  </si>
  <si>
    <t>h [m]</t>
  </si>
  <si>
    <t>Spettri di risposta</t>
  </si>
  <si>
    <t>progetto</t>
  </si>
  <si>
    <t>Località</t>
  </si>
  <si>
    <t>Piazza Cairoli, Messina</t>
  </si>
  <si>
    <t>Parametri</t>
  </si>
  <si>
    <t>SLO</t>
  </si>
  <si>
    <t>SLC</t>
  </si>
  <si>
    <t>T</t>
  </si>
  <si>
    <r>
      <t>S</t>
    </r>
    <r>
      <rPr>
        <vertAlign val="subscript"/>
        <sz val="9"/>
        <color theme="0" tint="-0.499984740745262"/>
        <rFont val="Arial"/>
        <family val="2"/>
      </rPr>
      <t>e</t>
    </r>
    <r>
      <rPr>
        <sz val="9"/>
        <color theme="0" tint="-0.499984740745262"/>
        <rFont val="Arial"/>
        <family val="2"/>
      </rPr>
      <t>(T)</t>
    </r>
  </si>
  <si>
    <t>Pericolosità sismica</t>
  </si>
  <si>
    <t>stato limite</t>
  </si>
  <si>
    <r>
      <t>T</t>
    </r>
    <r>
      <rPr>
        <vertAlign val="subscript"/>
        <sz val="10"/>
        <rFont val="Arial"/>
        <family val="2"/>
      </rPr>
      <t>r</t>
    </r>
  </si>
  <si>
    <r>
      <t>a</t>
    </r>
    <r>
      <rPr>
        <vertAlign val="subscript"/>
        <sz val="10"/>
        <rFont val="Arial"/>
        <family val="2"/>
      </rPr>
      <t>g</t>
    </r>
  </si>
  <si>
    <r>
      <t>F</t>
    </r>
    <r>
      <rPr>
        <vertAlign val="subscript"/>
        <sz val="10"/>
        <rFont val="Arial"/>
        <family val="2"/>
      </rPr>
      <t>o</t>
    </r>
  </si>
  <si>
    <r>
      <t>T</t>
    </r>
    <r>
      <rPr>
        <vertAlign val="subscript"/>
        <sz val="10"/>
        <rFont val="Arial"/>
        <family val="2"/>
      </rPr>
      <t>C</t>
    </r>
    <r>
      <rPr>
        <sz val="10"/>
        <color theme="1"/>
        <rFont val="Arial"/>
        <family val="2"/>
      </rPr>
      <t>*</t>
    </r>
  </si>
  <si>
    <t>h</t>
  </si>
  <si>
    <r>
      <t>T</t>
    </r>
    <r>
      <rPr>
        <vertAlign val="subscript"/>
        <sz val="9"/>
        <color theme="0" tint="-0.499984740745262"/>
        <rFont val="Arial"/>
        <family val="2"/>
      </rPr>
      <t>B</t>
    </r>
  </si>
  <si>
    <r>
      <t>T</t>
    </r>
    <r>
      <rPr>
        <vertAlign val="subscript"/>
        <sz val="9"/>
        <color theme="0" tint="-0.499984740745262"/>
        <rFont val="Arial"/>
        <family val="2"/>
      </rPr>
      <t>C</t>
    </r>
  </si>
  <si>
    <t>categoria topografica</t>
  </si>
  <si>
    <t>smorzamento</t>
  </si>
  <si>
    <t>Si ottiene:</t>
  </si>
  <si>
    <t>S</t>
  </si>
  <si>
    <r>
      <t>S a</t>
    </r>
    <r>
      <rPr>
        <vertAlign val="subscript"/>
        <sz val="10"/>
        <rFont val="Arial"/>
        <family val="2"/>
      </rPr>
      <t>g</t>
    </r>
  </si>
  <si>
    <r>
      <t>T</t>
    </r>
    <r>
      <rPr>
        <vertAlign val="subscript"/>
        <sz val="10"/>
        <rFont val="Arial"/>
        <family val="2"/>
      </rPr>
      <t>B</t>
    </r>
  </si>
  <si>
    <r>
      <t>T</t>
    </r>
    <r>
      <rPr>
        <vertAlign val="subscript"/>
        <sz val="10"/>
        <rFont val="Arial"/>
        <family val="2"/>
      </rPr>
      <t>C</t>
    </r>
  </si>
  <si>
    <r>
      <t>T</t>
    </r>
    <r>
      <rPr>
        <vertAlign val="subscript"/>
        <sz val="10"/>
        <rFont val="Arial"/>
        <family val="2"/>
      </rPr>
      <t>D</t>
    </r>
  </si>
  <si>
    <r>
      <t>S</t>
    </r>
    <r>
      <rPr>
        <vertAlign val="subscript"/>
        <sz val="10"/>
        <rFont val="Arial"/>
        <family val="2"/>
      </rPr>
      <t>e</t>
    </r>
    <r>
      <rPr>
        <sz val="10"/>
        <color theme="1"/>
        <rFont val="Arial"/>
        <family val="2"/>
      </rPr>
      <t>(T</t>
    </r>
    <r>
      <rPr>
        <vertAlign val="subscript"/>
        <sz val="10"/>
        <rFont val="Arial"/>
        <family val="2"/>
      </rPr>
      <t>C</t>
    </r>
    <r>
      <rPr>
        <sz val="10"/>
        <color theme="1"/>
        <rFont val="Arial"/>
        <family val="2"/>
      </rPr>
      <t>)</t>
    </r>
  </si>
  <si>
    <r>
      <t>S</t>
    </r>
    <r>
      <rPr>
        <vertAlign val="subscript"/>
        <sz val="10"/>
        <rFont val="Arial"/>
        <family val="2"/>
      </rPr>
      <t>e</t>
    </r>
    <r>
      <rPr>
        <sz val="10"/>
        <color theme="1"/>
        <rFont val="Arial"/>
        <family val="2"/>
      </rPr>
      <t>(T</t>
    </r>
    <r>
      <rPr>
        <vertAlign val="subscript"/>
        <sz val="10"/>
        <rFont val="Arial"/>
        <family val="2"/>
      </rPr>
      <t>1</t>
    </r>
    <r>
      <rPr>
        <sz val="10"/>
        <color theme="1"/>
        <rFont val="Arial"/>
        <family val="2"/>
      </rPr>
      <t>)</t>
    </r>
  </si>
  <si>
    <t>periodo fondamentale T1</t>
  </si>
  <si>
    <t>SLV/SLO</t>
  </si>
  <si>
    <t>1.5 SLV/SLD</t>
  </si>
  <si>
    <r>
      <t>S</t>
    </r>
    <r>
      <rPr>
        <vertAlign val="subscript"/>
        <sz val="10"/>
        <rFont val="Arial"/>
        <family val="2"/>
      </rPr>
      <t>d</t>
    </r>
    <r>
      <rPr>
        <sz val="10"/>
        <color theme="1"/>
        <rFont val="Arial"/>
        <family val="2"/>
      </rPr>
      <t>(T</t>
    </r>
    <r>
      <rPr>
        <vertAlign val="subscript"/>
        <sz val="10"/>
        <rFont val="Arial"/>
        <family val="2"/>
      </rPr>
      <t>C</t>
    </r>
    <r>
      <rPr>
        <sz val="10"/>
        <color theme="1"/>
        <rFont val="Arial"/>
        <family val="2"/>
      </rPr>
      <t>)</t>
    </r>
  </si>
  <si>
    <r>
      <t>S</t>
    </r>
    <r>
      <rPr>
        <vertAlign val="subscript"/>
        <sz val="10"/>
        <rFont val="Arial"/>
        <family val="2"/>
      </rPr>
      <t>d</t>
    </r>
    <r>
      <rPr>
        <sz val="10"/>
        <color theme="1"/>
        <rFont val="Arial"/>
        <family val="2"/>
      </rPr>
      <t>(T</t>
    </r>
    <r>
      <rPr>
        <vertAlign val="subscript"/>
        <sz val="10"/>
        <rFont val="Arial"/>
        <family val="2"/>
      </rPr>
      <t>1</t>
    </r>
    <r>
      <rPr>
        <sz val="10"/>
        <color theme="1"/>
        <rFont val="Arial"/>
        <family val="2"/>
      </rPr>
      <t>)</t>
    </r>
  </si>
  <si>
    <t>fattore di comportamento q</t>
  </si>
  <si>
    <r>
      <t>T</t>
    </r>
    <r>
      <rPr>
        <vertAlign val="subscript"/>
        <sz val="9"/>
        <color theme="0" tint="-0.499984740745262"/>
        <rFont val="Arial"/>
        <family val="2"/>
      </rPr>
      <t>D</t>
    </r>
  </si>
  <si>
    <t>Calcolo delle azioni sismiche (forze per analisi statica)</t>
  </si>
  <si>
    <r>
      <t>area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</si>
  <si>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area</t>
  </si>
  <si>
    <t>(in base alle formule di normativa)</t>
  </si>
  <si>
    <t>classe duttilità CD</t>
  </si>
  <si>
    <t>A</t>
  </si>
  <si>
    <t>regolare in pianta</t>
  </si>
  <si>
    <t>si</t>
  </si>
  <si>
    <t>regolare in altezza</t>
  </si>
  <si>
    <t>Parametri scelti</t>
  </si>
  <si>
    <t>q0</t>
  </si>
  <si>
    <t>si può usare   q =</t>
  </si>
  <si>
    <t xml:space="preserve">Si sceglie </t>
  </si>
  <si>
    <t>au /a1</t>
  </si>
  <si>
    <t>KR</t>
  </si>
  <si>
    <t>q</t>
  </si>
  <si>
    <t>z</t>
  </si>
  <si>
    <t>Stima periodo</t>
  </si>
  <si>
    <t>H edificio</t>
  </si>
  <si>
    <t>Valori forniti dal foglio Spettri di risposta</t>
  </si>
  <si>
    <t>per SLV</t>
  </si>
  <si>
    <r>
      <t>S</t>
    </r>
    <r>
      <rPr>
        <vertAlign val="subscript"/>
        <sz val="10"/>
        <rFont val="Arial"/>
        <family val="2"/>
      </rPr>
      <t>d</t>
    </r>
    <r>
      <rPr>
        <sz val="10"/>
        <color theme="1"/>
        <rFont val="Arial"/>
        <family val="2"/>
      </rPr>
      <t>(T</t>
    </r>
    <r>
      <rPr>
        <vertAlign val="subscript"/>
        <sz val="10"/>
        <rFont val="Arial"/>
        <family val="2"/>
      </rPr>
      <t>1</t>
    </r>
    <r>
      <rPr>
        <sz val="10"/>
        <color theme="1"/>
        <rFont val="Arial"/>
        <family val="2"/>
      </rPr>
      <t>) =</t>
    </r>
  </si>
  <si>
    <t>g</t>
  </si>
  <si>
    <t>per SLD</t>
  </si>
  <si>
    <r>
      <t>S</t>
    </r>
    <r>
      <rPr>
        <vertAlign val="subscript"/>
        <sz val="10"/>
        <rFont val="Arial"/>
        <family val="2"/>
      </rPr>
      <t>e</t>
    </r>
    <r>
      <rPr>
        <sz val="10"/>
        <color theme="1"/>
        <rFont val="Arial"/>
        <family val="2"/>
      </rPr>
      <t>(T</t>
    </r>
    <r>
      <rPr>
        <vertAlign val="subscript"/>
        <sz val="10"/>
        <rFont val="Arial"/>
        <family val="2"/>
      </rPr>
      <t>1</t>
    </r>
    <r>
      <rPr>
        <sz val="10"/>
        <color theme="1"/>
        <rFont val="Arial"/>
        <family val="2"/>
      </rPr>
      <t>) =</t>
    </r>
  </si>
  <si>
    <r>
      <t>Riepilogo parametri</t>
    </r>
    <r>
      <rPr>
        <sz val="11"/>
        <rFont val="Calibri"/>
        <family val="2"/>
        <scheme val="minor"/>
      </rPr>
      <t xml:space="preserve"> - dal foglio Masse</t>
    </r>
  </si>
  <si>
    <t>Forze orizzontali</t>
  </si>
  <si>
    <t>W</t>
  </si>
  <si>
    <t>Wz</t>
  </si>
  <si>
    <t>Fi</t>
  </si>
  <si>
    <t>Vi</t>
  </si>
  <si>
    <t>Fh</t>
  </si>
  <si>
    <t>rapporto SLD/SLV</t>
  </si>
  <si>
    <t>Caratteristiche della sollecitazione - prima previsione</t>
  </si>
  <si>
    <t>duttilità</t>
  </si>
  <si>
    <t>Sisma in direzione x</t>
  </si>
  <si>
    <t>n.pilastri</t>
  </si>
  <si>
    <t>Ltra</t>
  </si>
  <si>
    <t>Risoluzione dello schema base, traslante</t>
  </si>
  <si>
    <r>
      <t xml:space="preserve">Vi </t>
    </r>
    <r>
      <rPr>
        <sz val="8"/>
        <rFont val="Arial"/>
        <family val="2"/>
      </rPr>
      <t>TOT</t>
    </r>
  </si>
  <si>
    <t>hi</t>
  </si>
  <si>
    <t>n.pil</t>
  </si>
  <si>
    <t>Mpil</t>
  </si>
  <si>
    <t>Mtra</t>
  </si>
  <si>
    <t>Vtra</t>
  </si>
  <si>
    <r>
      <t>D</t>
    </r>
    <r>
      <rPr>
        <sz val="11"/>
        <color theme="1"/>
        <rFont val="Calibri"/>
        <family val="2"/>
        <scheme val="minor"/>
      </rPr>
      <t>Npil</t>
    </r>
  </si>
  <si>
    <t>1 testa</t>
  </si>
  <si>
    <t>1 piede</t>
  </si>
  <si>
    <t>Incremento per eccentricità (solo telai eccentrici)</t>
  </si>
  <si>
    <t>Incremento per gerarchia delle resistenze</t>
  </si>
  <si>
    <t>incr.</t>
  </si>
  <si>
    <t>Sisma in direzione y</t>
  </si>
  <si>
    <t>Valori a filo pilastro/trave</t>
  </si>
  <si>
    <t>Travi e pilastri che sono ritenuti più sollecitati</t>
  </si>
  <si>
    <t>e quindi usati per il dimensionamento</t>
  </si>
  <si>
    <t>Travi emergenti</t>
  </si>
  <si>
    <t>(le travi a spessore sono verificate per soli carichi verticali)</t>
  </si>
  <si>
    <t>sisma</t>
  </si>
  <si>
    <t>M =</t>
  </si>
  <si>
    <t>kNm</t>
  </si>
  <si>
    <t>perché la trave è molto lontana dal baricentro</t>
  </si>
  <si>
    <t>car.vert.</t>
  </si>
  <si>
    <t>al piano terra è quasi scarica</t>
  </si>
  <si>
    <t>TOT</t>
  </si>
  <si>
    <r>
      <t>M</t>
    </r>
    <r>
      <rPr>
        <sz val="8"/>
        <rFont val="Arial"/>
        <family val="2"/>
      </rPr>
      <t>Ed</t>
    </r>
    <r>
      <rPr>
        <sz val="10"/>
        <rFont val="Arial"/>
        <family val="2"/>
      </rPr>
      <t xml:space="preserve"> =</t>
    </r>
  </si>
  <si>
    <t>trave</t>
  </si>
  <si>
    <t>impalcato</t>
  </si>
  <si>
    <t>direzione</t>
  </si>
  <si>
    <t>y</t>
  </si>
  <si>
    <t>porta sbalzo laterale</t>
  </si>
  <si>
    <t>necessaria 30x60</t>
  </si>
  <si>
    <t>x</t>
  </si>
  <si>
    <t>perché la trave è vicina al baricentro</t>
  </si>
  <si>
    <t>porta due campate di solaio</t>
  </si>
  <si>
    <t>basterebbe 30x50</t>
  </si>
  <si>
    <t>pilastro</t>
  </si>
  <si>
    <t>ordine</t>
  </si>
  <si>
    <t>1 - piede</t>
  </si>
  <si>
    <t>perché il pilastro è abbastanza lontano dal baricentro</t>
  </si>
  <si>
    <r>
      <rPr>
        <sz val="10"/>
        <rFont val="Symbol"/>
        <family val="1"/>
        <charset val="2"/>
      </rPr>
      <t>D</t>
    </r>
    <r>
      <rPr>
        <sz val="10"/>
        <rFont val="Arial"/>
        <family val="2"/>
      </rPr>
      <t>N =</t>
    </r>
  </si>
  <si>
    <t>perché è tra due travi emergenti</t>
  </si>
  <si>
    <t>N =</t>
  </si>
  <si>
    <t>perimetrale non di bordo</t>
  </si>
  <si>
    <r>
      <t>N</t>
    </r>
    <r>
      <rPr>
        <sz val="8"/>
        <rFont val="Arial"/>
        <family val="2"/>
      </rPr>
      <t>Ed,min</t>
    </r>
    <r>
      <rPr>
        <sz val="10"/>
        <rFont val="Arial"/>
        <family val="2"/>
      </rPr>
      <t xml:space="preserve"> =</t>
    </r>
  </si>
  <si>
    <r>
      <t>N</t>
    </r>
    <r>
      <rPr>
        <sz val="8"/>
        <rFont val="Arial"/>
        <family val="2"/>
      </rPr>
      <t>Ed,max</t>
    </r>
    <r>
      <rPr>
        <sz val="10"/>
        <rFont val="Arial"/>
        <family val="2"/>
      </rPr>
      <t xml:space="preserve"> =</t>
    </r>
  </si>
  <si>
    <t>perché ha una sola trave emergente</t>
  </si>
  <si>
    <t>d'angolo</t>
  </si>
  <si>
    <t>Vpil</t>
  </si>
  <si>
    <t>L =</t>
  </si>
  <si>
    <t>Stima momento</t>
  </si>
  <si>
    <t xml:space="preserve"> (q l^2 / 10)</t>
  </si>
  <si>
    <t>Carico</t>
  </si>
  <si>
    <t>17-18</t>
  </si>
  <si>
    <t>8-5</t>
  </si>
  <si>
    <t>a spessore</t>
  </si>
  <si>
    <t>copertura</t>
  </si>
  <si>
    <t>Sforzo normale</t>
  </si>
  <si>
    <t>16 (interno, scala)</t>
  </si>
  <si>
    <t>arrotondato</t>
  </si>
  <si>
    <r>
      <t>per S</t>
    </r>
    <r>
      <rPr>
        <vertAlign val="subscript"/>
        <sz val="10"/>
        <color theme="0" tint="-0.499984740745262"/>
        <rFont val="Arial"/>
        <family val="2"/>
      </rPr>
      <t>S</t>
    </r>
  </si>
  <si>
    <r>
      <t>per C</t>
    </r>
    <r>
      <rPr>
        <vertAlign val="subscript"/>
        <sz val="10"/>
        <color theme="0" tint="-0.499984740745262"/>
        <rFont val="Arial"/>
        <family val="2"/>
      </rPr>
      <t>C</t>
    </r>
  </si>
  <si>
    <t>posizione</t>
  </si>
  <si>
    <t>luce della trave di estremità</t>
  </si>
  <si>
    <t>- pilastri di estremità</t>
  </si>
  <si>
    <t>- pilastri con una sola trave emergente</t>
  </si>
  <si>
    <r>
      <t>D</t>
    </r>
    <r>
      <rPr>
        <sz val="11"/>
        <color theme="1"/>
        <rFont val="Calibri"/>
        <family val="2"/>
        <scheme val="minor"/>
      </rPr>
      <t>Npil è riferito solo a:</t>
    </r>
  </si>
  <si>
    <t>moltiplicare i valori della tabella sopra riportata</t>
  </si>
  <si>
    <t>in funzione della distanza del telaio dal centro</t>
  </si>
  <si>
    <r>
      <t xml:space="preserve">per un coefficiente che arriva fino a </t>
    </r>
    <r>
      <rPr>
        <b/>
        <sz val="10"/>
        <rFont val="Arial"/>
        <family val="2"/>
      </rPr>
      <t>1.20</t>
    </r>
  </si>
  <si>
    <t>moltipl.ecc.</t>
  </si>
  <si>
    <t xml:space="preserve">perché è abbastanza lontano dal baricentro </t>
  </si>
  <si>
    <t>ha una sola trave emergente</t>
  </si>
  <si>
    <t>riduz.tra.</t>
  </si>
  <si>
    <t>oppure 30x50 molto sollecitata</t>
  </si>
  <si>
    <t>Travi</t>
  </si>
  <si>
    <t>I tagli di piano sono presi dal foglio Forze</t>
  </si>
  <si>
    <t>Le altezze sono prese dal foglio Masse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</si>
</sst>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0.0000"/>
  </numFmts>
  <fonts count="2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0"/>
      <color rgb="FFFF000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"/>
      <family val="2"/>
    </font>
    <font>
      <sz val="11"/>
      <color theme="0" tint="-0.499984740745262"/>
      <name val="Arial"/>
      <family val="2"/>
    </font>
    <font>
      <sz val="9"/>
      <color theme="0" tint="-0.499984740745262"/>
      <name val="Arial"/>
      <family val="2"/>
    </font>
    <font>
      <vertAlign val="subscript"/>
      <sz val="10"/>
      <name val="Arial"/>
      <family val="2"/>
    </font>
    <font>
      <vertAlign val="subscript"/>
      <sz val="9"/>
      <color theme="0" tint="-0.499984740745262"/>
      <name val="Arial"/>
      <family val="2"/>
    </font>
    <font>
      <sz val="10"/>
      <name val="Symbol"/>
      <family val="1"/>
      <charset val="2"/>
    </font>
    <font>
      <sz val="11"/>
      <color theme="1"/>
      <name val="Arial"/>
      <family val="2"/>
    </font>
    <font>
      <sz val="8"/>
      <color theme="1"/>
      <name val="Arial"/>
      <family val="2"/>
    </font>
    <font>
      <vertAlign val="superscript"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color theme="0" tint="-0.499984740745262"/>
      <name val="Arial"/>
      <family val="2"/>
    </font>
    <font>
      <vertAlign val="subscript"/>
      <sz val="10"/>
      <color theme="0" tint="-0.499984740745262"/>
      <name val="Arial"/>
      <family val="2"/>
    </font>
    <font>
      <sz val="10"/>
      <color theme="0" tint="-0.499984740745262"/>
      <name val="Symbol"/>
      <family val="1"/>
      <charset val="2"/>
    </font>
    <font>
      <sz val="9"/>
      <name val="Arial"/>
      <family val="2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00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49" fontId="1" fillId="0" borderId="0" xfId="0" applyNumberFormat="1" applyFont="1"/>
    <xf numFmtId="164" fontId="3" fillId="2" borderId="0" xfId="0" applyNumberFormat="1" applyFont="1" applyFill="1" applyAlignment="1" applyProtection="1">
      <alignment horizontal="center"/>
      <protection locked="0"/>
    </xf>
    <xf numFmtId="0" fontId="7" fillId="0" borderId="0" xfId="1" applyFont="1"/>
    <xf numFmtId="0" fontId="8" fillId="0" borderId="0" xfId="1" applyFont="1"/>
    <xf numFmtId="0" fontId="8" fillId="0" borderId="0" xfId="1" applyFont="1" applyAlignment="1">
      <alignment horizontal="center"/>
    </xf>
    <xf numFmtId="164" fontId="8" fillId="0" borderId="0" xfId="1" applyNumberFormat="1" applyFont="1" applyAlignment="1">
      <alignment horizontal="center"/>
    </xf>
    <xf numFmtId="1" fontId="8" fillId="0" borderId="0" xfId="1" applyNumberFormat="1" applyFont="1" applyAlignment="1">
      <alignment horizontal="center"/>
    </xf>
    <xf numFmtId="164" fontId="8" fillId="0" borderId="1" xfId="1" applyNumberFormat="1" applyFont="1" applyBorder="1" applyAlignment="1">
      <alignment horizontal="center"/>
    </xf>
    <xf numFmtId="2" fontId="8" fillId="0" borderId="0" xfId="1" applyNumberFormat="1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2" fontId="0" fillId="0" borderId="0" xfId="0" applyNumberFormat="1" applyFont="1" applyAlignment="1">
      <alignment horizontal="center"/>
    </xf>
    <xf numFmtId="1" fontId="0" fillId="0" borderId="0" xfId="0" applyNumberFormat="1" applyFont="1" applyAlignment="1">
      <alignment horizontal="center"/>
    </xf>
    <xf numFmtId="2" fontId="8" fillId="0" borderId="1" xfId="1" applyNumberFormat="1" applyFont="1" applyBorder="1" applyAlignment="1">
      <alignment horizontal="center"/>
    </xf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5" fontId="11" fillId="0" borderId="0" xfId="0" applyNumberFormat="1" applyFont="1" applyBorder="1" applyAlignment="1">
      <alignment horizontal="center" vertical="center"/>
    </xf>
    <xf numFmtId="165" fontId="11" fillId="0" borderId="0" xfId="0" applyNumberFormat="1" applyFont="1" applyAlignment="1">
      <alignment horizontal="center" vertical="center"/>
    </xf>
    <xf numFmtId="165" fontId="9" fillId="0" borderId="0" xfId="0" applyNumberFormat="1" applyFont="1" applyAlignment="1">
      <alignment horizontal="center" vertical="center"/>
    </xf>
    <xf numFmtId="0" fontId="4" fillId="2" borderId="0" xfId="0" applyFont="1" applyFill="1" applyBorder="1" applyAlignment="1" applyProtection="1">
      <alignment horizontal="center" vertical="center"/>
      <protection locked="0"/>
    </xf>
    <xf numFmtId="165" fontId="4" fillId="2" borderId="0" xfId="0" applyNumberFormat="1" applyFont="1" applyFill="1" applyBorder="1" applyAlignment="1" applyProtection="1">
      <alignment horizontal="center" vertical="center"/>
      <protection locked="0"/>
    </xf>
    <xf numFmtId="9" fontId="4" fillId="2" borderId="0" xfId="0" applyNumberFormat="1" applyFont="1" applyFill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center" vertical="center"/>
      <protection locked="0"/>
    </xf>
    <xf numFmtId="165" fontId="4" fillId="3" borderId="0" xfId="0" applyNumberFormat="1" applyFont="1" applyFill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/>
    </xf>
    <xf numFmtId="2" fontId="9" fillId="0" borderId="0" xfId="0" applyNumberFormat="1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6" fillId="0" borderId="0" xfId="0" applyFont="1" applyAlignment="1" applyProtection="1">
      <alignment horizontal="center" vertical="center"/>
      <protection locked="0"/>
    </xf>
    <xf numFmtId="0" fontId="11" fillId="0" borderId="0" xfId="0" applyNumberFormat="1" applyFont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1" fontId="8" fillId="0" borderId="1" xfId="1" applyNumberFormat="1" applyFont="1" applyBorder="1" applyAlignment="1">
      <alignment horizontal="center"/>
    </xf>
    <xf numFmtId="1" fontId="0" fillId="0" borderId="1" xfId="0" applyNumberFormat="1" applyFont="1" applyBorder="1" applyAlignment="1">
      <alignment horizontal="center"/>
    </xf>
    <xf numFmtId="0" fontId="7" fillId="0" borderId="0" xfId="0" applyFont="1"/>
    <xf numFmtId="0" fontId="8" fillId="0" borderId="0" xfId="0" applyFont="1"/>
    <xf numFmtId="0" fontId="8" fillId="2" borderId="0" xfId="0" applyFont="1" applyFill="1" applyAlignment="1" applyProtection="1">
      <alignment horizontal="center" vertical="center"/>
      <protection locked="0"/>
    </xf>
    <xf numFmtId="0" fontId="8" fillId="0" borderId="0" xfId="0" applyFont="1" applyAlignment="1">
      <alignment horizontal="center"/>
    </xf>
    <xf numFmtId="0" fontId="0" fillId="3" borderId="0" xfId="0" applyFont="1" applyFill="1" applyAlignment="1">
      <alignment horizontal="center"/>
    </xf>
    <xf numFmtId="0" fontId="8" fillId="3" borderId="0" xfId="1" applyFont="1" applyFill="1" applyAlignment="1">
      <alignment horizontal="center"/>
    </xf>
    <xf numFmtId="0" fontId="7" fillId="0" borderId="0" xfId="1" applyFont="1" applyFill="1" applyAlignment="1">
      <alignment horizontal="left"/>
    </xf>
    <xf numFmtId="0" fontId="18" fillId="0" borderId="0" xfId="1" applyFont="1"/>
    <xf numFmtId="0" fontId="19" fillId="0" borderId="0" xfId="0" applyFont="1"/>
    <xf numFmtId="1" fontId="6" fillId="0" borderId="0" xfId="0" applyNumberFormat="1" applyFont="1" applyAlignment="1">
      <alignment horizontal="center"/>
    </xf>
    <xf numFmtId="2" fontId="6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3" xfId="0" applyNumberFormat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5" fontId="0" fillId="0" borderId="0" xfId="0" applyNumberFormat="1" applyFont="1" applyAlignment="1">
      <alignment horizontal="center"/>
    </xf>
    <xf numFmtId="0" fontId="5" fillId="0" borderId="0" xfId="1" applyFont="1"/>
    <xf numFmtId="0" fontId="4" fillId="0" borderId="0" xfId="1"/>
    <xf numFmtId="0" fontId="4" fillId="0" borderId="0" xfId="1" applyFont="1"/>
    <xf numFmtId="0" fontId="4" fillId="0" borderId="0" xfId="1" applyFont="1" applyAlignment="1">
      <alignment horizontal="center"/>
    </xf>
    <xf numFmtId="0" fontId="19" fillId="0" borderId="0" xfId="1" applyFont="1"/>
    <xf numFmtId="0" fontId="6" fillId="0" borderId="0" xfId="1" applyFont="1" applyAlignment="1">
      <alignment horizontal="center"/>
    </xf>
    <xf numFmtId="0" fontId="4" fillId="0" borderId="0" xfId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14" fillId="0" borderId="0" xfId="1" applyFont="1" applyAlignment="1">
      <alignment horizontal="center"/>
    </xf>
    <xf numFmtId="0" fontId="4" fillId="0" borderId="0" xfId="1" applyAlignment="1">
      <alignment horizontal="center"/>
    </xf>
    <xf numFmtId="2" fontId="4" fillId="0" borderId="0" xfId="1" applyNumberFormat="1" applyAlignment="1">
      <alignment horizontal="center"/>
    </xf>
    <xf numFmtId="164" fontId="4" fillId="0" borderId="0" xfId="1" applyNumberFormat="1" applyAlignment="1">
      <alignment horizontal="center"/>
    </xf>
    <xf numFmtId="0" fontId="4" fillId="0" borderId="0" xfId="1" applyFont="1" applyAlignment="1">
      <alignment horizontal="center" vertical="center" wrapText="1"/>
    </xf>
    <xf numFmtId="2" fontId="8" fillId="2" borderId="0" xfId="0" applyNumberFormat="1" applyFont="1" applyFill="1" applyAlignment="1" applyProtection="1">
      <alignment horizontal="center" vertical="center"/>
      <protection locked="0"/>
    </xf>
    <xf numFmtId="0" fontId="4" fillId="0" borderId="0" xfId="1" applyFont="1" applyAlignment="1">
      <alignment horizontal="left"/>
    </xf>
    <xf numFmtId="0" fontId="6" fillId="0" borderId="0" xfId="1" applyFont="1"/>
    <xf numFmtId="0" fontId="19" fillId="0" borderId="0" xfId="1" applyFont="1" applyAlignment="1">
      <alignment horizontal="left"/>
    </xf>
    <xf numFmtId="1" fontId="4" fillId="0" borderId="0" xfId="1" applyNumberFormat="1" applyAlignment="1">
      <alignment horizontal="center"/>
    </xf>
    <xf numFmtId="0" fontId="0" fillId="0" borderId="0" xfId="0" applyAlignment="1">
      <alignment horizontal="right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165" fontId="2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2" fontId="9" fillId="3" borderId="0" xfId="0" applyNumberFormat="1" applyFont="1" applyFill="1" applyAlignment="1">
      <alignment horizontal="center" vertical="center"/>
    </xf>
    <xf numFmtId="0" fontId="9" fillId="0" borderId="0" xfId="0" applyFont="1" applyAlignment="1" applyProtection="1">
      <alignment horizontal="center" vertical="center"/>
      <protection locked="0"/>
    </xf>
    <xf numFmtId="0" fontId="14" fillId="0" borderId="0" xfId="1" applyFont="1" applyAlignment="1">
      <alignment horizontal="left"/>
    </xf>
    <xf numFmtId="0" fontId="4" fillId="0" borderId="0" xfId="1" quotePrefix="1" applyAlignment="1">
      <alignment horizontal="left"/>
    </xf>
    <xf numFmtId="0" fontId="4" fillId="0" borderId="0" xfId="1" applyAlignment="1">
      <alignment horizontal="left" vertical="center"/>
    </xf>
    <xf numFmtId="164" fontId="4" fillId="0" borderId="0" xfId="1" applyNumberFormat="1" applyAlignment="1">
      <alignment horizontal="left"/>
    </xf>
    <xf numFmtId="0" fontId="24" fillId="0" borderId="0" xfId="1" applyFont="1" applyAlignment="1">
      <alignment horizontal="center"/>
    </xf>
    <xf numFmtId="0" fontId="24" fillId="0" borderId="0" xfId="1" applyFont="1" applyAlignment="1">
      <alignment horizontal="right"/>
    </xf>
    <xf numFmtId="0" fontId="25" fillId="0" borderId="0" xfId="0" applyFont="1"/>
    <xf numFmtId="0" fontId="4" fillId="2" borderId="0" xfId="0" applyFont="1" applyFill="1" applyBorder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166" fontId="4" fillId="3" borderId="0" xfId="0" applyNumberFormat="1" applyFont="1" applyFill="1" applyAlignment="1">
      <alignment horizontal="center" vertical="center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strRef>
          <c:f>'Spettri di risposta'!$B$3:$E$3</c:f>
          <c:strCache>
            <c:ptCount val="1"/>
            <c:pt idx="0">
              <c:v>Piazza Cairoli, Messina</c:v>
            </c:pt>
          </c:strCache>
        </c:strRef>
      </c:tx>
      <c:layout>
        <c:manualLayout>
          <c:xMode val="edge"/>
          <c:yMode val="edge"/>
          <c:x val="0.18718738282714725"/>
          <c:y val="1.7777777777777781E-2"/>
        </c:manualLayout>
      </c:layout>
      <c:txPr>
        <a:bodyPr/>
        <a:lstStyle/>
        <a:p>
          <a:pPr>
            <a:defRPr sz="1100">
              <a:latin typeface="Arial" pitchFamily="34" charset="0"/>
              <a:cs typeface="Arial" pitchFamily="34" charset="0"/>
            </a:defRPr>
          </a:pPr>
          <a:endParaRPr lang="it-IT"/>
        </a:p>
      </c:txPr>
    </c:title>
    <c:plotArea>
      <c:layout/>
      <c:scatterChart>
        <c:scatterStyle val="lineMarker"/>
        <c:ser>
          <c:idx val="5"/>
          <c:order val="0"/>
          <c:tx>
            <c:v/>
          </c:tx>
          <c:spPr>
            <a:ln>
              <a:noFill/>
            </a:ln>
          </c:spPr>
          <c:marker>
            <c:symbol val="circle"/>
            <c:size val="3"/>
            <c:spPr>
              <a:solidFill>
                <a:schemeClr val="tx1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2240-4FAA-ADB6-CCA3D03CF5EC}"/>
            </c:ext>
          </c:extLst>
        </c:ser>
        <c:ser>
          <c:idx val="0"/>
          <c:order val="1"/>
          <c:tx>
            <c:v>SLC</c:v>
          </c:tx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2240-4FAA-ADB6-CCA3D03CF5EC}"/>
            </c:ext>
          </c:extLst>
        </c:ser>
        <c:ser>
          <c:idx val="1"/>
          <c:order val="2"/>
          <c:tx>
            <c:v>SLV</c:v>
          </c:tx>
          <c:spPr>
            <a:ln w="19050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2240-4FAA-ADB6-CCA3D03CF5EC}"/>
            </c:ext>
          </c:extLst>
        </c:ser>
        <c:ser>
          <c:idx val="2"/>
          <c:order val="3"/>
          <c:tx>
            <c:v>SLD</c:v>
          </c:tx>
          <c:spPr>
            <a:ln w="12700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3-2240-4FAA-ADB6-CCA3D03CF5EC}"/>
            </c:ext>
          </c:extLst>
        </c:ser>
        <c:ser>
          <c:idx val="3"/>
          <c:order val="4"/>
          <c:tx>
            <c:v>SLO</c:v>
          </c:tx>
          <c:spPr>
            <a:ln w="12700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4-2240-4FAA-ADB6-CCA3D03CF5EC}"/>
            </c:ext>
          </c:extLst>
        </c:ser>
        <c:ser>
          <c:idx val="4"/>
          <c:order val="5"/>
          <c:tx>
            <c:v/>
          </c:tx>
          <c:spPr>
            <a:ln>
              <a:solidFill>
                <a:schemeClr val="bg1"/>
              </a:solidFill>
            </a:ln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5-2240-4FAA-ADB6-CCA3D03CF5EC}"/>
            </c:ext>
          </c:extLst>
        </c:ser>
        <c:axId val="80633216"/>
        <c:axId val="80655488"/>
      </c:scatterChart>
      <c:valAx>
        <c:axId val="80633216"/>
        <c:scaling>
          <c:orientation val="minMax"/>
          <c:max val="3"/>
          <c:min val="0"/>
        </c:scaling>
        <c:axPos val="b"/>
        <c:majorGridlines/>
        <c:numFmt formatCode="0.0" sourceLinked="0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80655488"/>
        <c:crosses val="autoZero"/>
        <c:crossBetween val="midCat"/>
      </c:valAx>
      <c:valAx>
        <c:axId val="80655488"/>
        <c:scaling>
          <c:orientation val="minMax"/>
        </c:scaling>
        <c:axPos val="l"/>
        <c:majorGridlines/>
        <c:numFmt formatCode="0.00" sourceLinked="0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8063321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34361173603301"/>
          <c:y val="0.16817637795275567"/>
          <c:w val="0.17116071428571417"/>
          <c:h val="0.45501942257217826"/>
        </c:manualLayout>
      </c:layout>
      <c:overlay val="1"/>
      <c:spPr>
        <a:solidFill>
          <a:schemeClr val="bg1"/>
        </a:solidFill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it-IT"/>
        </a:p>
      </c:txPr>
    </c:legend>
    <c:plotVisOnly val="1"/>
    <c:dispBlanksAs val="gap"/>
  </c:chart>
  <c:printSettings>
    <c:headerFooter/>
    <c:pageMargins b="0.75000000000000144" l="0.70000000000000062" r="0.70000000000000062" t="0.75000000000000144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>
              <a:defRPr sz="1100">
                <a:latin typeface="Arial" pitchFamily="34" charset="0"/>
                <a:cs typeface="Arial" pitchFamily="34" charset="0"/>
              </a:defRPr>
            </a:pPr>
            <a:r>
              <a:rPr lang="en-US"/>
              <a:t>Spettri elastici e spettro di progetto</a:t>
            </a:r>
          </a:p>
        </c:rich>
      </c:tx>
      <c:layout/>
    </c:title>
    <c:plotArea>
      <c:layout/>
      <c:scatterChart>
        <c:scatterStyle val="lineMarker"/>
        <c:ser>
          <c:idx val="5"/>
          <c:order val="0"/>
          <c:tx>
            <c:v/>
          </c:tx>
          <c:spPr>
            <a:ln>
              <a:noFill/>
            </a:ln>
          </c:spPr>
          <c:marker>
            <c:symbol val="circle"/>
            <c:size val="3"/>
            <c:spPr>
              <a:solidFill>
                <a:sysClr val="windowText" lastClr="000000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07C4-4B21-A8D1-2074D7E4733C}"/>
            </c:ext>
          </c:extLst>
        </c:ser>
        <c:ser>
          <c:idx val="1"/>
          <c:order val="1"/>
          <c:tx>
            <c:v>Se,SLV</c:v>
          </c:tx>
          <c:spPr>
            <a:ln w="19050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07C4-4B21-A8D1-2074D7E4733C}"/>
            </c:ext>
          </c:extLst>
        </c:ser>
        <c:ser>
          <c:idx val="0"/>
          <c:order val="2"/>
          <c:tx>
            <c:v>Sd,SLV</c:v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07C4-4B21-A8D1-2074D7E4733C}"/>
            </c:ext>
          </c:extLst>
        </c:ser>
        <c:ser>
          <c:idx val="2"/>
          <c:order val="3"/>
          <c:tx>
            <c:v>SLD</c:v>
          </c:tx>
          <c:spPr>
            <a:ln w="12700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3-07C4-4B21-A8D1-2074D7E4733C}"/>
            </c:ext>
          </c:extLst>
        </c:ser>
        <c:ser>
          <c:idx val="3"/>
          <c:order val="4"/>
          <c:tx>
            <c:v>SLO</c:v>
          </c:tx>
          <c:spPr>
            <a:ln w="12700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4-07C4-4B21-A8D1-2074D7E4733C}"/>
            </c:ext>
          </c:extLst>
        </c:ser>
        <c:ser>
          <c:idx val="4"/>
          <c:order val="5"/>
          <c:tx>
            <c:v/>
          </c:tx>
          <c:spPr>
            <a:ln>
              <a:solidFill>
                <a:schemeClr val="bg1"/>
              </a:solidFill>
            </a:ln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5-07C4-4B21-A8D1-2074D7E4733C}"/>
            </c:ext>
          </c:extLst>
        </c:ser>
        <c:axId val="80863232"/>
        <c:axId val="80864768"/>
      </c:scatterChart>
      <c:valAx>
        <c:axId val="80863232"/>
        <c:scaling>
          <c:orientation val="minMax"/>
          <c:max val="3"/>
          <c:min val="0"/>
        </c:scaling>
        <c:axPos val="b"/>
        <c:majorGridlines/>
        <c:numFmt formatCode="0.0" sourceLinked="0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80864768"/>
        <c:crosses val="autoZero"/>
        <c:crossBetween val="midCat"/>
      </c:valAx>
      <c:valAx>
        <c:axId val="80864768"/>
        <c:scaling>
          <c:orientation val="minMax"/>
        </c:scaling>
        <c:axPos val="l"/>
        <c:majorGridlines/>
        <c:numFmt formatCode="0.00" sourceLinked="0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8086323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135278402699663"/>
          <c:y val="0.16817637795275567"/>
          <c:w val="0.19199404761904759"/>
          <c:h val="0.45029396325459331"/>
        </c:manualLayout>
      </c:layout>
      <c:overlay val="1"/>
      <c:spPr>
        <a:solidFill>
          <a:schemeClr val="bg1"/>
        </a:solidFill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it-IT"/>
        </a:p>
      </c:txPr>
    </c:legend>
    <c:plotVisOnly val="1"/>
    <c:dispBlanksAs val="gap"/>
  </c:chart>
  <c:printSettings>
    <c:headerFooter/>
    <c:pageMargins b="0.75000000000000155" l="0.70000000000000062" r="0.70000000000000062" t="0.75000000000000155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15</xdr:col>
      <xdr:colOff>0</xdr:colOff>
      <xdr:row>15</xdr:row>
      <xdr:rowOff>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16</xdr:row>
      <xdr:rowOff>0</xdr:rowOff>
    </xdr:from>
    <xdr:to>
      <xdr:col>15</xdr:col>
      <xdr:colOff>0</xdr:colOff>
      <xdr:row>31</xdr:row>
      <xdr:rowOff>0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0.75</cdr:x>
      <cdr:y>0.21333</cdr:y>
    </cdr:from>
    <cdr:to>
      <cdr:x>0.8125</cdr:x>
      <cdr:y>0.27333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200400" y="609600"/>
          <a:ext cx="266700" cy="171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it-IT" sz="1100">
            <a:ln>
              <a:solidFill>
                <a:schemeClr val="bg1"/>
              </a:solidFill>
            </a:ln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0.75</cdr:x>
      <cdr:y>0.18667</cdr:y>
    </cdr:from>
    <cdr:to>
      <cdr:x>0.84152</cdr:x>
      <cdr:y>0.23</cdr:y>
    </cdr:to>
    <cdr:sp macro="" textlink="">
      <cdr:nvSpPr>
        <cdr:cNvPr id="3" name="CasellaDiTesto 2"/>
        <cdr:cNvSpPr txBox="1"/>
      </cdr:nvSpPr>
      <cdr:spPr>
        <a:xfrm xmlns:a="http://schemas.openxmlformats.org/drawingml/2006/main">
          <a:off x="3200400" y="533399"/>
          <a:ext cx="390525" cy="12382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it-IT" sz="1100"/>
            <a:t>   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0.72768</cdr:x>
      <cdr:y>0.18333</cdr:y>
    </cdr:from>
    <cdr:to>
      <cdr:x>0.8192</cdr:x>
      <cdr:y>0.22667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105150" y="523875"/>
          <a:ext cx="390525" cy="12382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it-IT" sz="1100"/>
            <a:t>   </a:t>
          </a:r>
        </a:p>
      </cdr:txBody>
    </cdr:sp>
  </cdr:relSizeAnchor>
</c:userShape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9"/>
  <sheetViews>
    <sheetView tabSelected="1" workbookViewId="0">
      <selection activeCell="A2" sqref="A2"/>
    </sheetView>
  </sheetViews>
  <sheetFormatPr defaultRowHeight="15"/>
  <sheetData>
    <row r="1" spans="1:13" ht="15.75">
      <c r="A1" s="96" t="s">
        <v>185</v>
      </c>
    </row>
    <row r="3" spans="1:13">
      <c r="A3" s="3" t="s">
        <v>2</v>
      </c>
      <c r="B3" s="5" t="s">
        <v>5</v>
      </c>
      <c r="C3" s="82" t="s">
        <v>159</v>
      </c>
      <c r="D3" s="2">
        <v>3</v>
      </c>
      <c r="E3" t="s">
        <v>32</v>
      </c>
      <c r="I3" s="3" t="s">
        <v>2</v>
      </c>
      <c r="J3" s="5" t="s">
        <v>163</v>
      </c>
      <c r="K3" s="82" t="s">
        <v>159</v>
      </c>
      <c r="L3" s="2">
        <v>4.2</v>
      </c>
      <c r="M3" t="s">
        <v>32</v>
      </c>
    </row>
    <row r="4" spans="1:13">
      <c r="A4" t="s">
        <v>165</v>
      </c>
    </row>
    <row r="5" spans="1:13">
      <c r="D5" s="15" t="s">
        <v>1</v>
      </c>
      <c r="E5" s="15" t="s">
        <v>3</v>
      </c>
      <c r="L5" s="15" t="s">
        <v>1</v>
      </c>
      <c r="M5" s="15" t="s">
        <v>3</v>
      </c>
    </row>
    <row r="6" spans="1:13">
      <c r="A6" t="s">
        <v>162</v>
      </c>
      <c r="C6" s="1" t="s">
        <v>0</v>
      </c>
      <c r="D6" s="2">
        <v>35.856000000000002</v>
      </c>
      <c r="E6" s="2">
        <v>18.360000000000003</v>
      </c>
      <c r="I6" t="s">
        <v>162</v>
      </c>
      <c r="K6" s="1" t="s">
        <v>0</v>
      </c>
      <c r="L6" s="2">
        <v>52.760000000000005</v>
      </c>
      <c r="M6" s="2">
        <v>31.634</v>
      </c>
    </row>
    <row r="7" spans="1:13">
      <c r="C7" s="82" t="s">
        <v>169</v>
      </c>
      <c r="D7" s="1">
        <v>40</v>
      </c>
      <c r="E7" s="1">
        <v>24</v>
      </c>
      <c r="K7" s="82" t="s">
        <v>169</v>
      </c>
      <c r="L7" s="1">
        <v>60</v>
      </c>
      <c r="M7" s="1">
        <v>33</v>
      </c>
    </row>
    <row r="8" spans="1:13">
      <c r="A8" t="s">
        <v>160</v>
      </c>
      <c r="B8" s="14"/>
      <c r="I8" t="s">
        <v>160</v>
      </c>
      <c r="J8" s="14"/>
    </row>
    <row r="9" spans="1:13">
      <c r="A9" t="s">
        <v>161</v>
      </c>
      <c r="C9" s="1" t="s">
        <v>130</v>
      </c>
      <c r="D9" s="59">
        <f>D7*D3^2/10</f>
        <v>36</v>
      </c>
      <c r="E9" s="59">
        <f>E7*D3^2/10</f>
        <v>21.6</v>
      </c>
      <c r="I9" t="s">
        <v>161</v>
      </c>
      <c r="K9" s="1" t="s">
        <v>130</v>
      </c>
      <c r="L9" s="59">
        <f>L7*L3^2/10</f>
        <v>105.84</v>
      </c>
      <c r="M9" s="59">
        <f>M7*L3^2/10</f>
        <v>58.212000000000003</v>
      </c>
    </row>
    <row r="13" spans="1:13">
      <c r="A13" s="3" t="s">
        <v>2</v>
      </c>
      <c r="B13" s="5" t="s">
        <v>164</v>
      </c>
      <c r="C13" s="82" t="s">
        <v>159</v>
      </c>
      <c r="D13" s="2">
        <v>4</v>
      </c>
      <c r="E13" t="s">
        <v>32</v>
      </c>
      <c r="I13" s="3" t="s">
        <v>2</v>
      </c>
      <c r="J13" s="5" t="s">
        <v>4</v>
      </c>
      <c r="K13" s="82" t="s">
        <v>159</v>
      </c>
      <c r="L13" s="2">
        <v>4.3</v>
      </c>
      <c r="M13" t="s">
        <v>32</v>
      </c>
    </row>
    <row r="15" spans="1:13">
      <c r="D15" s="15" t="s">
        <v>1</v>
      </c>
      <c r="E15" s="15" t="s">
        <v>3</v>
      </c>
      <c r="L15" s="15" t="s">
        <v>1</v>
      </c>
      <c r="M15" s="15" t="s">
        <v>3</v>
      </c>
    </row>
    <row r="16" spans="1:13">
      <c r="A16" t="s">
        <v>162</v>
      </c>
      <c r="C16" s="1" t="s">
        <v>0</v>
      </c>
      <c r="D16" s="2">
        <v>56.46</v>
      </c>
      <c r="E16" s="2">
        <v>33.78</v>
      </c>
      <c r="I16" t="s">
        <v>162</v>
      </c>
      <c r="K16" s="1" t="s">
        <v>0</v>
      </c>
      <c r="L16" s="2">
        <v>53.353000000000009</v>
      </c>
      <c r="M16" s="2">
        <v>31.299999999999997</v>
      </c>
    </row>
    <row r="17" spans="1:13">
      <c r="C17" s="82" t="s">
        <v>169</v>
      </c>
      <c r="D17" s="1">
        <v>60</v>
      </c>
      <c r="E17" s="1">
        <v>33</v>
      </c>
      <c r="K17" s="82" t="s">
        <v>169</v>
      </c>
      <c r="L17" s="1">
        <v>60</v>
      </c>
      <c r="M17" s="1">
        <v>33</v>
      </c>
    </row>
    <row r="18" spans="1:13">
      <c r="A18" t="s">
        <v>160</v>
      </c>
      <c r="B18" s="14"/>
      <c r="I18" t="s">
        <v>160</v>
      </c>
      <c r="J18" s="14"/>
    </row>
    <row r="19" spans="1:13">
      <c r="A19" t="s">
        <v>161</v>
      </c>
      <c r="C19" s="1" t="s">
        <v>130</v>
      </c>
      <c r="D19" s="59">
        <f>D17*D13^2/10</f>
        <v>96</v>
      </c>
      <c r="E19" s="59">
        <f>E17*D13^2/10</f>
        <v>52.8</v>
      </c>
      <c r="I19" t="s">
        <v>161</v>
      </c>
      <c r="K19" s="1" t="s">
        <v>130</v>
      </c>
      <c r="L19" s="59">
        <f>L17*L13^2/10</f>
        <v>110.93999999999998</v>
      </c>
      <c r="M19" s="59">
        <f>M17*L13^2/10</f>
        <v>61.016999999999996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M31"/>
  <sheetViews>
    <sheetView workbookViewId="0">
      <selection activeCell="A2" sqref="A2"/>
    </sheetView>
  </sheetViews>
  <sheetFormatPr defaultRowHeight="15"/>
  <sheetData>
    <row r="1" spans="1:13" ht="15.75">
      <c r="A1" s="96" t="s">
        <v>7</v>
      </c>
    </row>
    <row r="3" spans="1:13">
      <c r="A3" s="3" t="s">
        <v>6</v>
      </c>
      <c r="B3" s="4" t="s">
        <v>9</v>
      </c>
      <c r="I3" s="3" t="s">
        <v>6</v>
      </c>
      <c r="J3" s="4" t="s">
        <v>168</v>
      </c>
    </row>
    <row r="5" spans="1:13">
      <c r="D5" s="15" t="s">
        <v>1</v>
      </c>
      <c r="E5" s="15" t="s">
        <v>3</v>
      </c>
      <c r="L5" s="15" t="s">
        <v>1</v>
      </c>
      <c r="M5" s="15" t="s">
        <v>3</v>
      </c>
    </row>
    <row r="6" spans="1:13">
      <c r="A6" t="s">
        <v>162</v>
      </c>
      <c r="B6" s="1" t="s">
        <v>166</v>
      </c>
      <c r="C6" s="1" t="s">
        <v>8</v>
      </c>
      <c r="D6" s="59">
        <v>223.76870250000005</v>
      </c>
      <c r="E6" s="59">
        <v>136.56344999999999</v>
      </c>
      <c r="I6" t="s">
        <v>162</v>
      </c>
      <c r="J6" s="1" t="s">
        <v>18</v>
      </c>
      <c r="K6" s="1" t="s">
        <v>8</v>
      </c>
      <c r="L6" s="59">
        <v>107.78255000000001</v>
      </c>
      <c r="M6" s="59">
        <v>79.188500000000005</v>
      </c>
    </row>
    <row r="7" spans="1:13">
      <c r="B7" s="1" t="s">
        <v>24</v>
      </c>
      <c r="C7" s="1" t="s">
        <v>8</v>
      </c>
      <c r="D7" s="59">
        <v>260.18610000000001</v>
      </c>
      <c r="E7" s="59">
        <v>160.73182500000001</v>
      </c>
      <c r="J7" s="1" t="s">
        <v>166</v>
      </c>
      <c r="K7" s="1" t="s">
        <v>8</v>
      </c>
      <c r="L7" s="59">
        <v>247.73097000000004</v>
      </c>
      <c r="M7" s="59">
        <v>150.98310000000001</v>
      </c>
    </row>
    <row r="8" spans="1:13">
      <c r="J8" s="1" t="s">
        <v>24</v>
      </c>
      <c r="K8" s="1" t="s">
        <v>8</v>
      </c>
      <c r="L8" s="59">
        <v>266.18270000000007</v>
      </c>
      <c r="M8" s="59">
        <v>163.51759999999999</v>
      </c>
    </row>
    <row r="9" spans="1:13">
      <c r="J9" s="1"/>
      <c r="K9" s="1"/>
      <c r="L9" s="59"/>
      <c r="M9" s="59"/>
    </row>
    <row r="10" spans="1:13">
      <c r="A10" t="s">
        <v>167</v>
      </c>
      <c r="I10" t="s">
        <v>167</v>
      </c>
      <c r="K10" s="1">
        <v>6</v>
      </c>
      <c r="L10" s="59">
        <f>L6</f>
        <v>107.78255000000001</v>
      </c>
      <c r="M10" s="59">
        <f>M6</f>
        <v>79.188500000000005</v>
      </c>
    </row>
    <row r="11" spans="1:13">
      <c r="C11" s="1">
        <v>5</v>
      </c>
      <c r="D11" s="59">
        <f>D6</f>
        <v>223.76870250000005</v>
      </c>
      <c r="E11" s="59">
        <f>E6</f>
        <v>136.56344999999999</v>
      </c>
      <c r="K11" s="1">
        <v>5</v>
      </c>
      <c r="L11" s="59">
        <f>L10+L7</f>
        <v>355.51352000000009</v>
      </c>
      <c r="M11" s="59">
        <f>M10+M7</f>
        <v>230.17160000000001</v>
      </c>
    </row>
    <row r="12" spans="1:13">
      <c r="C12" s="1">
        <v>4</v>
      </c>
      <c r="D12" s="59">
        <f>D11+D7</f>
        <v>483.95480250000003</v>
      </c>
      <c r="E12" s="59">
        <f>E11+E7</f>
        <v>297.295275</v>
      </c>
      <c r="K12" s="1">
        <v>4</v>
      </c>
      <c r="L12" s="59">
        <f>L11+L8</f>
        <v>621.69622000000015</v>
      </c>
      <c r="M12" s="59">
        <f>M11+M8</f>
        <v>393.68920000000003</v>
      </c>
    </row>
    <row r="13" spans="1:13">
      <c r="C13" s="1">
        <v>3</v>
      </c>
      <c r="D13" s="59">
        <f>D12+D7</f>
        <v>744.14090250000004</v>
      </c>
      <c r="E13" s="59">
        <f>E12+E7</f>
        <v>458.02710000000002</v>
      </c>
      <c r="K13" s="1">
        <v>3</v>
      </c>
      <c r="L13" s="59">
        <f>L12+L8</f>
        <v>887.87892000000022</v>
      </c>
      <c r="M13" s="59">
        <f>M12+M8</f>
        <v>557.20680000000004</v>
      </c>
    </row>
    <row r="14" spans="1:13">
      <c r="C14" s="1">
        <v>2</v>
      </c>
      <c r="D14" s="59">
        <f>D13+D7</f>
        <v>1004.3270025</v>
      </c>
      <c r="E14" s="59">
        <f>E13+E7</f>
        <v>618.75892500000009</v>
      </c>
      <c r="K14" s="1">
        <v>2</v>
      </c>
      <c r="L14" s="59">
        <f>L13+L8</f>
        <v>1154.0616200000004</v>
      </c>
      <c r="M14" s="59">
        <f>M13+M8</f>
        <v>720.72440000000006</v>
      </c>
    </row>
    <row r="15" spans="1:13">
      <c r="C15" s="1">
        <v>1</v>
      </c>
      <c r="D15" s="59">
        <f>D14+D7</f>
        <v>1264.5131025000001</v>
      </c>
      <c r="E15" s="59">
        <f>E14+E7</f>
        <v>779.49075000000016</v>
      </c>
      <c r="K15" s="1">
        <v>1</v>
      </c>
      <c r="L15" s="59">
        <f>L14+L8</f>
        <v>1420.2443200000005</v>
      </c>
      <c r="M15" s="59">
        <f>M14+M8</f>
        <v>884.24200000000008</v>
      </c>
    </row>
    <row r="19" spans="1:13">
      <c r="A19" s="3" t="s">
        <v>6</v>
      </c>
      <c r="B19" s="4" t="s">
        <v>10</v>
      </c>
      <c r="I19" s="3" t="s">
        <v>6</v>
      </c>
      <c r="J19" s="4" t="s">
        <v>11</v>
      </c>
    </row>
    <row r="21" spans="1:13">
      <c r="D21" s="15" t="s">
        <v>1</v>
      </c>
      <c r="E21" s="15" t="s">
        <v>3</v>
      </c>
      <c r="L21" s="15" t="s">
        <v>1</v>
      </c>
      <c r="M21" s="15" t="s">
        <v>3</v>
      </c>
    </row>
    <row r="22" spans="1:13">
      <c r="A22" t="s">
        <v>162</v>
      </c>
      <c r="B22" s="1" t="s">
        <v>166</v>
      </c>
      <c r="C22" s="1" t="s">
        <v>8</v>
      </c>
      <c r="D22" s="59">
        <v>117.72150000000002</v>
      </c>
      <c r="E22" s="59">
        <v>74.904000000000011</v>
      </c>
      <c r="I22" t="s">
        <v>162</v>
      </c>
      <c r="J22" s="1" t="s">
        <v>166</v>
      </c>
      <c r="K22" s="1" t="s">
        <v>8</v>
      </c>
      <c r="L22" s="59">
        <v>72.143550000000019</v>
      </c>
      <c r="M22" s="59">
        <v>48.271500000000003</v>
      </c>
    </row>
    <row r="23" spans="1:13">
      <c r="B23" s="1" t="s">
        <v>24</v>
      </c>
      <c r="C23" s="1" t="s">
        <v>8</v>
      </c>
      <c r="D23" s="59">
        <v>166.05810000000002</v>
      </c>
      <c r="E23" s="59">
        <v>110.39400000000001</v>
      </c>
      <c r="J23" s="1" t="s">
        <v>24</v>
      </c>
      <c r="K23" s="1" t="s">
        <v>8</v>
      </c>
      <c r="L23" s="59">
        <v>115.07400000000001</v>
      </c>
      <c r="M23" s="59">
        <v>80.51400000000001</v>
      </c>
    </row>
    <row r="26" spans="1:13">
      <c r="A26" t="s">
        <v>167</v>
      </c>
      <c r="I26" t="s">
        <v>167</v>
      </c>
    </row>
    <row r="27" spans="1:13">
      <c r="C27" s="1">
        <v>5</v>
      </c>
      <c r="D27" s="59">
        <f>D22</f>
        <v>117.72150000000002</v>
      </c>
      <c r="E27" s="59">
        <f>E22</f>
        <v>74.904000000000011</v>
      </c>
      <c r="K27" s="1">
        <v>5</v>
      </c>
      <c r="L27" s="59">
        <f>L22</f>
        <v>72.143550000000019</v>
      </c>
      <c r="M27" s="59">
        <f>M22</f>
        <v>48.271500000000003</v>
      </c>
    </row>
    <row r="28" spans="1:13">
      <c r="C28" s="1">
        <v>4</v>
      </c>
      <c r="D28" s="59">
        <f>D27+D23</f>
        <v>283.77960000000007</v>
      </c>
      <c r="E28" s="59">
        <f>E27+E23</f>
        <v>185.298</v>
      </c>
      <c r="K28" s="1">
        <v>4</v>
      </c>
      <c r="L28" s="59">
        <f>L27+L23</f>
        <v>187.21755000000002</v>
      </c>
      <c r="M28" s="59">
        <f>M27+M23</f>
        <v>128.78550000000001</v>
      </c>
    </row>
    <row r="29" spans="1:13">
      <c r="C29" s="1">
        <v>3</v>
      </c>
      <c r="D29" s="59">
        <f>D28+D23</f>
        <v>449.8377000000001</v>
      </c>
      <c r="E29" s="59">
        <f>E28+E23</f>
        <v>295.69200000000001</v>
      </c>
      <c r="K29" s="1">
        <v>3</v>
      </c>
      <c r="L29" s="59">
        <f>L28+L23</f>
        <v>302.29155000000003</v>
      </c>
      <c r="M29" s="59">
        <f>M28+M23</f>
        <v>209.29950000000002</v>
      </c>
    </row>
    <row r="30" spans="1:13">
      <c r="C30" s="1">
        <v>2</v>
      </c>
      <c r="D30" s="59">
        <f>D29+D23</f>
        <v>615.89580000000012</v>
      </c>
      <c r="E30" s="59">
        <f>E29+E23</f>
        <v>406.08600000000001</v>
      </c>
      <c r="K30" s="1">
        <v>2</v>
      </c>
      <c r="L30" s="59">
        <f>L29+L23</f>
        <v>417.36555000000004</v>
      </c>
      <c r="M30" s="59">
        <f>M29+M23</f>
        <v>289.81350000000003</v>
      </c>
    </row>
    <row r="31" spans="1:13">
      <c r="C31" s="1">
        <v>1</v>
      </c>
      <c r="D31" s="59">
        <f>D30+D23</f>
        <v>781.9539000000002</v>
      </c>
      <c r="E31" s="59">
        <f>E30+E23</f>
        <v>516.48</v>
      </c>
      <c r="K31" s="1">
        <v>1</v>
      </c>
      <c r="L31" s="59">
        <f>L30+L23</f>
        <v>532.43955000000005</v>
      </c>
      <c r="M31" s="59">
        <f>M30+M23</f>
        <v>370.32750000000004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M13"/>
  <sheetViews>
    <sheetView workbookViewId="0">
      <selection activeCell="A2" sqref="A2"/>
    </sheetView>
  </sheetViews>
  <sheetFormatPr defaultRowHeight="15"/>
  <cols>
    <col min="1" max="1" width="18.7109375" style="8" customWidth="1"/>
    <col min="2" max="4" width="10.7109375" style="8" customWidth="1"/>
    <col min="5" max="256" width="9" style="8"/>
    <col min="257" max="257" width="18.7109375" style="8" customWidth="1"/>
    <col min="258" max="260" width="10.7109375" style="8" customWidth="1"/>
    <col min="261" max="512" width="9" style="8"/>
    <col min="513" max="513" width="18.7109375" style="8" customWidth="1"/>
    <col min="514" max="516" width="10.7109375" style="8" customWidth="1"/>
    <col min="517" max="768" width="9" style="8"/>
    <col min="769" max="769" width="18.7109375" style="8" customWidth="1"/>
    <col min="770" max="772" width="10.7109375" style="8" customWidth="1"/>
    <col min="773" max="1024" width="9" style="8"/>
    <col min="1025" max="1025" width="18.7109375" style="8" customWidth="1"/>
    <col min="1026" max="1028" width="10.7109375" style="8" customWidth="1"/>
    <col min="1029" max="1280" width="9" style="8"/>
    <col min="1281" max="1281" width="18.7109375" style="8" customWidth="1"/>
    <col min="1282" max="1284" width="10.7109375" style="8" customWidth="1"/>
    <col min="1285" max="1536" width="9" style="8"/>
    <col min="1537" max="1537" width="18.7109375" style="8" customWidth="1"/>
    <col min="1538" max="1540" width="10.7109375" style="8" customWidth="1"/>
    <col min="1541" max="1792" width="9" style="8"/>
    <col min="1793" max="1793" width="18.7109375" style="8" customWidth="1"/>
    <col min="1794" max="1796" width="10.7109375" style="8" customWidth="1"/>
    <col min="1797" max="2048" width="9" style="8"/>
    <col min="2049" max="2049" width="18.7109375" style="8" customWidth="1"/>
    <col min="2050" max="2052" width="10.7109375" style="8" customWidth="1"/>
    <col min="2053" max="2304" width="9" style="8"/>
    <col min="2305" max="2305" width="18.7109375" style="8" customWidth="1"/>
    <col min="2306" max="2308" width="10.7109375" style="8" customWidth="1"/>
    <col min="2309" max="2560" width="9" style="8"/>
    <col min="2561" max="2561" width="18.7109375" style="8" customWidth="1"/>
    <col min="2562" max="2564" width="10.7109375" style="8" customWidth="1"/>
    <col min="2565" max="2816" width="9" style="8"/>
    <col min="2817" max="2817" width="18.7109375" style="8" customWidth="1"/>
    <col min="2818" max="2820" width="10.7109375" style="8" customWidth="1"/>
    <col min="2821" max="3072" width="9" style="8"/>
    <col min="3073" max="3073" width="18.7109375" style="8" customWidth="1"/>
    <col min="3074" max="3076" width="10.7109375" style="8" customWidth="1"/>
    <col min="3077" max="3328" width="9" style="8"/>
    <col min="3329" max="3329" width="18.7109375" style="8" customWidth="1"/>
    <col min="3330" max="3332" width="10.7109375" style="8" customWidth="1"/>
    <col min="3333" max="3584" width="9" style="8"/>
    <col min="3585" max="3585" width="18.7109375" style="8" customWidth="1"/>
    <col min="3586" max="3588" width="10.7109375" style="8" customWidth="1"/>
    <col min="3589" max="3840" width="9" style="8"/>
    <col min="3841" max="3841" width="18.7109375" style="8" customWidth="1"/>
    <col min="3842" max="3844" width="10.7109375" style="8" customWidth="1"/>
    <col min="3845" max="4096" width="9" style="8"/>
    <col min="4097" max="4097" width="18.7109375" style="8" customWidth="1"/>
    <col min="4098" max="4100" width="10.7109375" style="8" customWidth="1"/>
    <col min="4101" max="4352" width="9" style="8"/>
    <col min="4353" max="4353" width="18.7109375" style="8" customWidth="1"/>
    <col min="4354" max="4356" width="10.7109375" style="8" customWidth="1"/>
    <col min="4357" max="4608" width="9" style="8"/>
    <col min="4609" max="4609" width="18.7109375" style="8" customWidth="1"/>
    <col min="4610" max="4612" width="10.7109375" style="8" customWidth="1"/>
    <col min="4613" max="4864" width="9" style="8"/>
    <col min="4865" max="4865" width="18.7109375" style="8" customWidth="1"/>
    <col min="4866" max="4868" width="10.7109375" style="8" customWidth="1"/>
    <col min="4869" max="5120" width="9" style="8"/>
    <col min="5121" max="5121" width="18.7109375" style="8" customWidth="1"/>
    <col min="5122" max="5124" width="10.7109375" style="8" customWidth="1"/>
    <col min="5125" max="5376" width="9" style="8"/>
    <col min="5377" max="5377" width="18.7109375" style="8" customWidth="1"/>
    <col min="5378" max="5380" width="10.7109375" style="8" customWidth="1"/>
    <col min="5381" max="5632" width="9" style="8"/>
    <col min="5633" max="5633" width="18.7109375" style="8" customWidth="1"/>
    <col min="5634" max="5636" width="10.7109375" style="8" customWidth="1"/>
    <col min="5637" max="5888" width="9" style="8"/>
    <col min="5889" max="5889" width="18.7109375" style="8" customWidth="1"/>
    <col min="5890" max="5892" width="10.7109375" style="8" customWidth="1"/>
    <col min="5893" max="6144" width="9" style="8"/>
    <col min="6145" max="6145" width="18.7109375" style="8" customWidth="1"/>
    <col min="6146" max="6148" width="10.7109375" style="8" customWidth="1"/>
    <col min="6149" max="6400" width="9" style="8"/>
    <col min="6401" max="6401" width="18.7109375" style="8" customWidth="1"/>
    <col min="6402" max="6404" width="10.7109375" style="8" customWidth="1"/>
    <col min="6405" max="6656" width="9" style="8"/>
    <col min="6657" max="6657" width="18.7109375" style="8" customWidth="1"/>
    <col min="6658" max="6660" width="10.7109375" style="8" customWidth="1"/>
    <col min="6661" max="6912" width="9" style="8"/>
    <col min="6913" max="6913" width="18.7109375" style="8" customWidth="1"/>
    <col min="6914" max="6916" width="10.7109375" style="8" customWidth="1"/>
    <col min="6917" max="7168" width="9" style="8"/>
    <col min="7169" max="7169" width="18.7109375" style="8" customWidth="1"/>
    <col min="7170" max="7172" width="10.7109375" style="8" customWidth="1"/>
    <col min="7173" max="7424" width="9" style="8"/>
    <col min="7425" max="7425" width="18.7109375" style="8" customWidth="1"/>
    <col min="7426" max="7428" width="10.7109375" style="8" customWidth="1"/>
    <col min="7429" max="7680" width="9" style="8"/>
    <col min="7681" max="7681" width="18.7109375" style="8" customWidth="1"/>
    <col min="7682" max="7684" width="10.7109375" style="8" customWidth="1"/>
    <col min="7685" max="7936" width="9" style="8"/>
    <col min="7937" max="7937" width="18.7109375" style="8" customWidth="1"/>
    <col min="7938" max="7940" width="10.7109375" style="8" customWidth="1"/>
    <col min="7941" max="8192" width="9" style="8"/>
    <col min="8193" max="8193" width="18.7109375" style="8" customWidth="1"/>
    <col min="8194" max="8196" width="10.7109375" style="8" customWidth="1"/>
    <col min="8197" max="8448" width="9" style="8"/>
    <col min="8449" max="8449" width="18.7109375" style="8" customWidth="1"/>
    <col min="8450" max="8452" width="10.7109375" style="8" customWidth="1"/>
    <col min="8453" max="8704" width="9" style="8"/>
    <col min="8705" max="8705" width="18.7109375" style="8" customWidth="1"/>
    <col min="8706" max="8708" width="10.7109375" style="8" customWidth="1"/>
    <col min="8709" max="8960" width="9" style="8"/>
    <col min="8961" max="8961" width="18.7109375" style="8" customWidth="1"/>
    <col min="8962" max="8964" width="10.7109375" style="8" customWidth="1"/>
    <col min="8965" max="9216" width="9" style="8"/>
    <col min="9217" max="9217" width="18.7109375" style="8" customWidth="1"/>
    <col min="9218" max="9220" width="10.7109375" style="8" customWidth="1"/>
    <col min="9221" max="9472" width="9" style="8"/>
    <col min="9473" max="9473" width="18.7109375" style="8" customWidth="1"/>
    <col min="9474" max="9476" width="10.7109375" style="8" customWidth="1"/>
    <col min="9477" max="9728" width="9" style="8"/>
    <col min="9729" max="9729" width="18.7109375" style="8" customWidth="1"/>
    <col min="9730" max="9732" width="10.7109375" style="8" customWidth="1"/>
    <col min="9733" max="9984" width="9" style="8"/>
    <col min="9985" max="9985" width="18.7109375" style="8" customWidth="1"/>
    <col min="9986" max="9988" width="10.7109375" style="8" customWidth="1"/>
    <col min="9989" max="10240" width="9" style="8"/>
    <col min="10241" max="10241" width="18.7109375" style="8" customWidth="1"/>
    <col min="10242" max="10244" width="10.7109375" style="8" customWidth="1"/>
    <col min="10245" max="10496" width="9" style="8"/>
    <col min="10497" max="10497" width="18.7109375" style="8" customWidth="1"/>
    <col min="10498" max="10500" width="10.7109375" style="8" customWidth="1"/>
    <col min="10501" max="10752" width="9" style="8"/>
    <col min="10753" max="10753" width="18.7109375" style="8" customWidth="1"/>
    <col min="10754" max="10756" width="10.7109375" style="8" customWidth="1"/>
    <col min="10757" max="11008" width="9" style="8"/>
    <col min="11009" max="11009" width="18.7109375" style="8" customWidth="1"/>
    <col min="11010" max="11012" width="10.7109375" style="8" customWidth="1"/>
    <col min="11013" max="11264" width="9" style="8"/>
    <col min="11265" max="11265" width="18.7109375" style="8" customWidth="1"/>
    <col min="11266" max="11268" width="10.7109375" style="8" customWidth="1"/>
    <col min="11269" max="11520" width="9" style="8"/>
    <col min="11521" max="11521" width="18.7109375" style="8" customWidth="1"/>
    <col min="11522" max="11524" width="10.7109375" style="8" customWidth="1"/>
    <col min="11525" max="11776" width="9" style="8"/>
    <col min="11777" max="11777" width="18.7109375" style="8" customWidth="1"/>
    <col min="11778" max="11780" width="10.7109375" style="8" customWidth="1"/>
    <col min="11781" max="12032" width="9" style="8"/>
    <col min="12033" max="12033" width="18.7109375" style="8" customWidth="1"/>
    <col min="12034" max="12036" width="10.7109375" style="8" customWidth="1"/>
    <col min="12037" max="12288" width="9" style="8"/>
    <col min="12289" max="12289" width="18.7109375" style="8" customWidth="1"/>
    <col min="12290" max="12292" width="10.7109375" style="8" customWidth="1"/>
    <col min="12293" max="12544" width="9" style="8"/>
    <col min="12545" max="12545" width="18.7109375" style="8" customWidth="1"/>
    <col min="12546" max="12548" width="10.7109375" style="8" customWidth="1"/>
    <col min="12549" max="12800" width="9" style="8"/>
    <col min="12801" max="12801" width="18.7109375" style="8" customWidth="1"/>
    <col min="12802" max="12804" width="10.7109375" style="8" customWidth="1"/>
    <col min="12805" max="13056" width="9" style="8"/>
    <col min="13057" max="13057" width="18.7109375" style="8" customWidth="1"/>
    <col min="13058" max="13060" width="10.7109375" style="8" customWidth="1"/>
    <col min="13061" max="13312" width="9" style="8"/>
    <col min="13313" max="13313" width="18.7109375" style="8" customWidth="1"/>
    <col min="13314" max="13316" width="10.7109375" style="8" customWidth="1"/>
    <col min="13317" max="13568" width="9" style="8"/>
    <col min="13569" max="13569" width="18.7109375" style="8" customWidth="1"/>
    <col min="13570" max="13572" width="10.7109375" style="8" customWidth="1"/>
    <col min="13573" max="13824" width="9" style="8"/>
    <col min="13825" max="13825" width="18.7109375" style="8" customWidth="1"/>
    <col min="13826" max="13828" width="10.7109375" style="8" customWidth="1"/>
    <col min="13829" max="14080" width="9" style="8"/>
    <col min="14081" max="14081" width="18.7109375" style="8" customWidth="1"/>
    <col min="14082" max="14084" width="10.7109375" style="8" customWidth="1"/>
    <col min="14085" max="14336" width="9" style="8"/>
    <col min="14337" max="14337" width="18.7109375" style="8" customWidth="1"/>
    <col min="14338" max="14340" width="10.7109375" style="8" customWidth="1"/>
    <col min="14341" max="14592" width="9" style="8"/>
    <col min="14593" max="14593" width="18.7109375" style="8" customWidth="1"/>
    <col min="14594" max="14596" width="10.7109375" style="8" customWidth="1"/>
    <col min="14597" max="14848" width="9" style="8"/>
    <col min="14849" max="14849" width="18.7109375" style="8" customWidth="1"/>
    <col min="14850" max="14852" width="10.7109375" style="8" customWidth="1"/>
    <col min="14853" max="15104" width="9" style="8"/>
    <col min="15105" max="15105" width="18.7109375" style="8" customWidth="1"/>
    <col min="15106" max="15108" width="10.7109375" style="8" customWidth="1"/>
    <col min="15109" max="15360" width="9" style="8"/>
    <col min="15361" max="15361" width="18.7109375" style="8" customWidth="1"/>
    <col min="15362" max="15364" width="10.7109375" style="8" customWidth="1"/>
    <col min="15365" max="15616" width="9" style="8"/>
    <col min="15617" max="15617" width="18.7109375" style="8" customWidth="1"/>
    <col min="15618" max="15620" width="10.7109375" style="8" customWidth="1"/>
    <col min="15621" max="15872" width="9" style="8"/>
    <col min="15873" max="15873" width="18.7109375" style="8" customWidth="1"/>
    <col min="15874" max="15876" width="10.7109375" style="8" customWidth="1"/>
    <col min="15877" max="16128" width="9" style="8"/>
    <col min="16129" max="16129" width="18.7109375" style="8" customWidth="1"/>
    <col min="16130" max="16132" width="10.7109375" style="8" customWidth="1"/>
    <col min="16133" max="16384" width="9" style="8"/>
  </cols>
  <sheetData>
    <row r="1" spans="1:13">
      <c r="A1" s="7" t="s">
        <v>12</v>
      </c>
    </row>
    <row r="3" spans="1:13">
      <c r="A3" s="7" t="s">
        <v>13</v>
      </c>
      <c r="J3" s="7" t="s">
        <v>14</v>
      </c>
    </row>
    <row r="5" spans="1:13" ht="17.25">
      <c r="B5" s="9" t="s">
        <v>72</v>
      </c>
      <c r="G5" s="9" t="s">
        <v>15</v>
      </c>
      <c r="H5" s="9" t="s">
        <v>35</v>
      </c>
      <c r="J5" s="9" t="s">
        <v>15</v>
      </c>
      <c r="K5" s="9" t="s">
        <v>72</v>
      </c>
      <c r="L5" s="9" t="s">
        <v>16</v>
      </c>
      <c r="M5" s="9" t="s">
        <v>17</v>
      </c>
    </row>
    <row r="6" spans="1:13">
      <c r="A6" s="8" t="s">
        <v>18</v>
      </c>
      <c r="B6" s="6">
        <v>48</v>
      </c>
      <c r="G6" s="9"/>
      <c r="H6" s="13"/>
      <c r="J6" s="9"/>
      <c r="K6" s="10"/>
      <c r="L6" s="10"/>
      <c r="M6" s="11"/>
    </row>
    <row r="7" spans="1:13">
      <c r="A7" s="8" t="s">
        <v>20</v>
      </c>
      <c r="B7" s="6">
        <v>331.9</v>
      </c>
      <c r="G7" s="9">
        <v>5</v>
      </c>
      <c r="H7" s="13">
        <v>3.2</v>
      </c>
      <c r="J7" s="9" t="s">
        <v>19</v>
      </c>
      <c r="K7" s="10">
        <f>B11</f>
        <v>379.9</v>
      </c>
      <c r="L7" s="10">
        <f>C11</f>
        <v>9</v>
      </c>
      <c r="M7" s="11">
        <f>ROUND(K7*L7,0)</f>
        <v>3419</v>
      </c>
    </row>
    <row r="8" spans="1:13">
      <c r="B8" s="12">
        <f>SUM(B6:B7)</f>
        <v>379.9</v>
      </c>
      <c r="G8" s="9">
        <v>4</v>
      </c>
      <c r="H8" s="13">
        <v>3.2</v>
      </c>
      <c r="J8" s="9">
        <v>4</v>
      </c>
      <c r="K8" s="10">
        <f>B12</f>
        <v>323.5</v>
      </c>
      <c r="L8" s="10">
        <f>C12</f>
        <v>10</v>
      </c>
      <c r="M8" s="11">
        <f t="shared" ref="M8:M11" si="0">ROUND(K8*L8,0)</f>
        <v>3235</v>
      </c>
    </row>
    <row r="9" spans="1:13">
      <c r="G9" s="9">
        <v>3</v>
      </c>
      <c r="H9" s="13">
        <v>3.2</v>
      </c>
      <c r="J9" s="9">
        <v>3</v>
      </c>
      <c r="K9" s="10">
        <f>K8</f>
        <v>323.5</v>
      </c>
      <c r="L9" s="10">
        <f>L8</f>
        <v>10</v>
      </c>
      <c r="M9" s="11">
        <f t="shared" si="0"/>
        <v>3235</v>
      </c>
    </row>
    <row r="10" spans="1:13">
      <c r="B10" s="9" t="s">
        <v>73</v>
      </c>
      <c r="C10" s="8" t="s">
        <v>21</v>
      </c>
      <c r="D10" s="9" t="s">
        <v>22</v>
      </c>
      <c r="G10" s="9">
        <v>2</v>
      </c>
      <c r="H10" s="13">
        <v>3.2</v>
      </c>
      <c r="J10" s="9">
        <v>2</v>
      </c>
      <c r="K10" s="10">
        <f>K9</f>
        <v>323.5</v>
      </c>
      <c r="L10" s="10">
        <f>L9</f>
        <v>10</v>
      </c>
      <c r="M10" s="11">
        <f t="shared" si="0"/>
        <v>3235</v>
      </c>
    </row>
    <row r="11" spans="1:13">
      <c r="A11" s="8" t="s">
        <v>23</v>
      </c>
      <c r="B11" s="10">
        <f>B6+B7</f>
        <v>379.9</v>
      </c>
      <c r="C11" s="6">
        <v>9</v>
      </c>
      <c r="D11" s="11">
        <f>ROUND(B11*C11,0)</f>
        <v>3419</v>
      </c>
      <c r="E11" s="8" t="s">
        <v>8</v>
      </c>
      <c r="G11" s="9">
        <v>1</v>
      </c>
      <c r="H11" s="13">
        <v>3.6</v>
      </c>
      <c r="J11" s="9">
        <v>1</v>
      </c>
      <c r="K11" s="10">
        <f>B13</f>
        <v>263.2</v>
      </c>
      <c r="L11" s="10">
        <f>L10</f>
        <v>10</v>
      </c>
      <c r="M11" s="11">
        <f t="shared" si="0"/>
        <v>2632</v>
      </c>
    </row>
    <row r="12" spans="1:13">
      <c r="A12" s="8" t="s">
        <v>24</v>
      </c>
      <c r="B12" s="6">
        <v>323.5</v>
      </c>
      <c r="C12" s="6">
        <v>10</v>
      </c>
      <c r="D12" s="11">
        <f>ROUND(B12*C12,0)</f>
        <v>3235</v>
      </c>
      <c r="E12" s="8" t="s">
        <v>8</v>
      </c>
      <c r="G12" s="9" t="s">
        <v>25</v>
      </c>
      <c r="H12" s="18">
        <f>SUM(H6:H11)</f>
        <v>16.400000000000002</v>
      </c>
      <c r="J12" s="9" t="s">
        <v>25</v>
      </c>
      <c r="K12" s="10"/>
      <c r="M12" s="45">
        <f>SUM(M6:M11)</f>
        <v>15756</v>
      </c>
    </row>
    <row r="13" spans="1:13">
      <c r="A13" s="8" t="s">
        <v>26</v>
      </c>
      <c r="B13" s="6">
        <v>263.2</v>
      </c>
      <c r="C13" s="6">
        <v>10</v>
      </c>
      <c r="D13" s="11">
        <f>ROUND(B13*C13,0)</f>
        <v>2632</v>
      </c>
      <c r="E13" s="8" t="s">
        <v>8</v>
      </c>
    </row>
  </sheetData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AI53"/>
  <sheetViews>
    <sheetView workbookViewId="0">
      <selection activeCell="B3" sqref="B3:E3"/>
    </sheetView>
  </sheetViews>
  <sheetFormatPr defaultColWidth="9.140625" defaultRowHeight="14.25"/>
  <cols>
    <col min="1" max="1" width="23.5703125" style="24" bestFit="1" customWidth="1"/>
    <col min="2" max="16" width="9.140625" style="20"/>
    <col min="17" max="17" width="6.5703125" style="21" customWidth="1"/>
    <col min="18" max="18" width="6.5703125" style="22" customWidth="1"/>
    <col min="19" max="19" width="6.5703125" style="23" customWidth="1"/>
    <col min="20" max="20" width="6.5703125" style="22" customWidth="1"/>
    <col min="21" max="21" width="6.5703125" style="23" customWidth="1"/>
    <col min="22" max="22" width="6.5703125" style="22" customWidth="1"/>
    <col min="23" max="23" width="6.5703125" style="23" customWidth="1"/>
    <col min="24" max="24" width="6.5703125" style="22" customWidth="1"/>
    <col min="25" max="25" width="6.5703125" style="23" customWidth="1"/>
    <col min="26" max="26" width="6.5703125" style="22" customWidth="1"/>
    <col min="27" max="27" width="6.5703125" style="23" customWidth="1"/>
    <col min="28" max="16384" width="9.140625" style="20"/>
  </cols>
  <sheetData>
    <row r="1" spans="1:35" ht="15" customHeight="1">
      <c r="A1" s="19" t="s">
        <v>36</v>
      </c>
    </row>
    <row r="2" spans="1:35" ht="15" customHeight="1">
      <c r="Z2" s="22" t="s">
        <v>37</v>
      </c>
    </row>
    <row r="3" spans="1:35" ht="15" customHeight="1">
      <c r="A3" s="25" t="s">
        <v>38</v>
      </c>
      <c r="B3" s="97" t="s">
        <v>39</v>
      </c>
      <c r="C3" s="98"/>
      <c r="D3" s="98"/>
      <c r="E3" s="98"/>
      <c r="R3" s="23" t="s">
        <v>41</v>
      </c>
      <c r="T3" s="23" t="s">
        <v>31</v>
      </c>
      <c r="V3" s="23" t="s">
        <v>29</v>
      </c>
      <c r="X3" s="23" t="s">
        <v>42</v>
      </c>
      <c r="Z3" s="23" t="s">
        <v>29</v>
      </c>
      <c r="AC3" s="83" t="s">
        <v>40</v>
      </c>
      <c r="AD3" s="83"/>
      <c r="AE3" s="83"/>
      <c r="AF3" s="83"/>
      <c r="AG3" s="83"/>
    </row>
    <row r="4" spans="1:35" ht="15" customHeight="1">
      <c r="A4" s="25"/>
      <c r="B4" s="26"/>
      <c r="C4" s="26"/>
      <c r="D4" s="26"/>
      <c r="E4" s="26"/>
      <c r="P4" s="24"/>
      <c r="R4" s="23" t="s">
        <v>43</v>
      </c>
      <c r="S4" s="23" t="s">
        <v>44</v>
      </c>
      <c r="T4" s="23" t="s">
        <v>43</v>
      </c>
      <c r="U4" s="23" t="s">
        <v>44</v>
      </c>
      <c r="V4" s="23" t="s">
        <v>43</v>
      </c>
      <c r="W4" s="23" t="s">
        <v>44</v>
      </c>
      <c r="X4" s="23" t="s">
        <v>43</v>
      </c>
      <c r="Y4" s="23" t="s">
        <v>44</v>
      </c>
      <c r="Z4" s="23" t="s">
        <v>43</v>
      </c>
      <c r="AA4" s="23" t="s">
        <v>44</v>
      </c>
      <c r="AC4" s="84" t="s">
        <v>170</v>
      </c>
      <c r="AD4" s="84">
        <f>IF(B14="A",1,IF(B14="B",1.4,IF(B14="C",1.7,IF(B14="D",2.4,2))))</f>
        <v>1.7</v>
      </c>
      <c r="AE4" s="84">
        <f>IF(B14="A",0,IF(B14="B",0.4,IF(B14="C",0.6,IF(B14="D",1.5,1.1))))</f>
        <v>0.6</v>
      </c>
      <c r="AF4" s="84">
        <f>IF(B14="A",1,IF(B14="B",1,IF(B14="C",1,IF(B14="D",0.9,1))))</f>
        <v>1</v>
      </c>
      <c r="AG4" s="84">
        <f>IF(B14="A",1,IF(B14="B",1.2,IF(B14="C",1.5,IF(B14="D",1.8,1.6))))</f>
        <v>1.5</v>
      </c>
      <c r="AH4" s="24"/>
      <c r="AI4" s="24"/>
    </row>
    <row r="5" spans="1:35" ht="15" customHeight="1">
      <c r="A5" s="24" t="s">
        <v>45</v>
      </c>
      <c r="Q5" s="28">
        <v>0</v>
      </c>
      <c r="R5" s="29">
        <v>0</v>
      </c>
      <c r="S5" s="30">
        <f>C17</f>
        <v>9.1499999999999998E-2</v>
      </c>
      <c r="T5" s="29">
        <v>0</v>
      </c>
      <c r="U5" s="30">
        <f>C18</f>
        <v>0.123</v>
      </c>
      <c r="V5" s="29">
        <v>0</v>
      </c>
      <c r="W5" s="30">
        <f>C19</f>
        <v>0.33462500000000001</v>
      </c>
      <c r="X5" s="29">
        <v>0</v>
      </c>
      <c r="Y5" s="30">
        <f>C20</f>
        <v>0.40771089300000007</v>
      </c>
      <c r="Z5" s="29">
        <f>IF($B$29="",-1,V5)</f>
        <v>0</v>
      </c>
      <c r="AA5" s="29">
        <f>W5</f>
        <v>0.33462500000000001</v>
      </c>
      <c r="AC5" s="84" t="s">
        <v>171</v>
      </c>
      <c r="AD5" s="84">
        <f>IF(B14="A",1,IF(B14="B",1.1,IF(B14="C",1.05,IF(B14="D",1.25,1.15))))</f>
        <v>1.05</v>
      </c>
      <c r="AE5" s="84">
        <f>IF(B14="A",0,IF(B14="B",0.2,IF(B14="C",0.33,IF(B14="D",0.5,0.4))))</f>
        <v>0.33</v>
      </c>
      <c r="AF5" s="83"/>
      <c r="AG5" s="83"/>
    </row>
    <row r="6" spans="1:35" ht="15" customHeight="1">
      <c r="A6" s="25" t="s">
        <v>46</v>
      </c>
      <c r="B6" s="25" t="s">
        <v>47</v>
      </c>
      <c r="C6" s="25" t="s">
        <v>48</v>
      </c>
      <c r="D6" s="25" t="s">
        <v>49</v>
      </c>
      <c r="E6" s="25" t="s">
        <v>50</v>
      </c>
      <c r="N6" s="24">
        <v>0</v>
      </c>
      <c r="O6" s="31">
        <f>MAX(1,G20)</f>
        <v>1</v>
      </c>
      <c r="Q6" s="30" t="s">
        <v>52</v>
      </c>
      <c r="R6" s="29">
        <f>D17</f>
        <v>0.14916396716852898</v>
      </c>
      <c r="S6" s="30">
        <f>G17</f>
        <v>0.21593999999999999</v>
      </c>
      <c r="T6" s="29">
        <f>D18</f>
        <v>0.15341737754593213</v>
      </c>
      <c r="U6" s="30">
        <f>G18</f>
        <v>0.28486799999999995</v>
      </c>
      <c r="V6" s="29">
        <f>D19</f>
        <v>0.17651869980007165</v>
      </c>
      <c r="W6" s="30">
        <f>G19</f>
        <v>0.80644625000000003</v>
      </c>
      <c r="X6" s="29">
        <f>D20</f>
        <v>0.18399720371942338</v>
      </c>
      <c r="Y6" s="30">
        <f>G20</f>
        <v>0.99685313338500015</v>
      </c>
      <c r="Z6" s="29">
        <f t="shared" ref="Z6:Z52" si="0">IF($B$29="",-1,V6)</f>
        <v>0.17651869980007165</v>
      </c>
      <c r="AA6" s="29">
        <f t="shared" ref="AA6:AA52" si="1">MAX(W6/$AD$6/$B$29,0.2*$C$19)</f>
        <v>0.13785405982905985</v>
      </c>
      <c r="AC6" s="85" t="s">
        <v>51</v>
      </c>
      <c r="AD6" s="86">
        <f>MAX(SQRT(10/(5+B13*100)),0.55)</f>
        <v>1</v>
      </c>
      <c r="AE6" s="83"/>
      <c r="AF6" s="83"/>
      <c r="AG6" s="83"/>
    </row>
    <row r="7" spans="1:35" ht="15" customHeight="1">
      <c r="A7" s="25" t="s">
        <v>41</v>
      </c>
      <c r="B7" s="32">
        <v>30</v>
      </c>
      <c r="C7" s="33">
        <v>6.0999999999999999E-2</v>
      </c>
      <c r="D7" s="33">
        <v>2.36</v>
      </c>
      <c r="E7" s="33">
        <v>0.28000000000000003</v>
      </c>
      <c r="Q7" s="30" t="s">
        <v>53</v>
      </c>
      <c r="R7" s="29">
        <f>E17</f>
        <v>0.44749190150558693</v>
      </c>
      <c r="S7" s="30">
        <f>S6</f>
        <v>0.21593999999999999</v>
      </c>
      <c r="T7" s="29">
        <f>E18</f>
        <v>0.46025213263779635</v>
      </c>
      <c r="U7" s="30">
        <f>U6</f>
        <v>0.28486799999999995</v>
      </c>
      <c r="V7" s="29">
        <f>E19</f>
        <v>0.52955609940021497</v>
      </c>
      <c r="W7" s="30">
        <f>W6</f>
        <v>0.80644625000000003</v>
      </c>
      <c r="X7" s="29">
        <f>E20</f>
        <v>0.55199161115827011</v>
      </c>
      <c r="Y7" s="30">
        <f>Y6</f>
        <v>0.99685313338500015</v>
      </c>
      <c r="Z7" s="29">
        <f t="shared" si="0"/>
        <v>0.52955609940021497</v>
      </c>
      <c r="AA7" s="29">
        <f t="shared" si="1"/>
        <v>0.13785405982905985</v>
      </c>
      <c r="AC7" s="83" t="str">
        <f>CONCATENATE(B3," - spettri elastici")</f>
        <v>Piazza Cairoli, Messina - spettri elastici</v>
      </c>
      <c r="AD7" s="83"/>
      <c r="AE7" s="83"/>
      <c r="AF7" s="83"/>
      <c r="AG7" s="83"/>
    </row>
    <row r="8" spans="1:35" ht="15" customHeight="1">
      <c r="A8" s="25" t="s">
        <v>31</v>
      </c>
      <c r="B8" s="32">
        <v>50</v>
      </c>
      <c r="C8" s="33">
        <v>8.2000000000000003E-2</v>
      </c>
      <c r="D8" s="33">
        <v>2.3159999999999998</v>
      </c>
      <c r="E8" s="33">
        <v>0.29199999999999998</v>
      </c>
      <c r="Q8" s="30"/>
      <c r="R8" s="29">
        <f t="shared" ref="R8:R36" si="2">R$7+(R$37-R$7)*(ROW(R8)-ROW(R$7))/30</f>
        <v>0.49404217145540069</v>
      </c>
      <c r="S8" s="30">
        <f>S$7*R$7/R8</f>
        <v>0.19559342662277115</v>
      </c>
      <c r="T8" s="29">
        <f t="shared" ref="T8:T36" si="3">T$7+(T$37-T$7)*(ROW(T8)-ROW(T$7))/30</f>
        <v>0.50917706154986986</v>
      </c>
      <c r="U8" s="30">
        <f>U$7*T$7/T8</f>
        <v>0.25749609403294471</v>
      </c>
      <c r="V8" s="29">
        <f t="shared" ref="V8:V36" si="4">V$7+(V$37-V$7)*(ROW(V8)-ROW(V$7))/30</f>
        <v>0.59857089608687453</v>
      </c>
      <c r="W8" s="30">
        <f>W$7*V$7/V8</f>
        <v>0.71346357351786249</v>
      </c>
      <c r="X8" s="29">
        <f t="shared" ref="X8:X36" si="5">X$7+(X$37-X$7)*(ROW(X8)-ROW(X$7))/30</f>
        <v>0.6321252241196611</v>
      </c>
      <c r="Y8" s="30">
        <f>Y$7*X$7/X8</f>
        <v>0.87048348363518735</v>
      </c>
      <c r="Z8" s="29">
        <f t="shared" si="0"/>
        <v>0.59857089608687453</v>
      </c>
      <c r="AA8" s="29">
        <f t="shared" si="1"/>
        <v>0.12195958521672864</v>
      </c>
    </row>
    <row r="9" spans="1:35" ht="15" customHeight="1">
      <c r="A9" s="25" t="s">
        <v>29</v>
      </c>
      <c r="B9" s="32">
        <v>475</v>
      </c>
      <c r="C9" s="33">
        <v>0.25</v>
      </c>
      <c r="D9" s="33">
        <v>2.41</v>
      </c>
      <c r="E9" s="33">
        <v>0.36</v>
      </c>
      <c r="Q9" s="30"/>
      <c r="R9" s="29">
        <f t="shared" si="2"/>
        <v>0.54059244140521445</v>
      </c>
      <c r="S9" s="30">
        <f t="shared" ref="S9:U37" si="6">S$7*R$7/R9</f>
        <v>0.17875092918416144</v>
      </c>
      <c r="T9" s="29">
        <f t="shared" si="3"/>
        <v>0.55810199046194331</v>
      </c>
      <c r="U9" s="30">
        <f t="shared" si="6"/>
        <v>0.23492319819849156</v>
      </c>
      <c r="V9" s="29">
        <f t="shared" si="4"/>
        <v>0.66758569277353397</v>
      </c>
      <c r="W9" s="30">
        <f t="shared" ref="W9:W37" si="7">W$7*V$7/V9</f>
        <v>0.63970593610489834</v>
      </c>
      <c r="X9" s="29">
        <f t="shared" si="5"/>
        <v>0.71225883708105209</v>
      </c>
      <c r="Y9" s="30">
        <f t="shared" ref="Y9:Y37" si="8">Y$7*X$7/X9</f>
        <v>0.7725485996641126</v>
      </c>
      <c r="Z9" s="29">
        <f t="shared" si="0"/>
        <v>0.66758569277353397</v>
      </c>
      <c r="AA9" s="29">
        <f t="shared" si="1"/>
        <v>0.10935144206921339</v>
      </c>
    </row>
    <row r="10" spans="1:35" ht="15" customHeight="1">
      <c r="A10" s="25" t="s">
        <v>42</v>
      </c>
      <c r="B10" s="32">
        <v>975</v>
      </c>
      <c r="C10" s="33">
        <v>0.33900000000000002</v>
      </c>
      <c r="D10" s="33">
        <v>2.4449999999999998</v>
      </c>
      <c r="E10" s="33">
        <v>0.38300000000000001</v>
      </c>
      <c r="Q10" s="30"/>
      <c r="R10" s="29">
        <f t="shared" si="2"/>
        <v>0.58714271135502827</v>
      </c>
      <c r="S10" s="30">
        <f t="shared" si="6"/>
        <v>0.16457906969177416</v>
      </c>
      <c r="T10" s="29">
        <f t="shared" si="3"/>
        <v>0.60702691937401676</v>
      </c>
      <c r="U10" s="30">
        <f t="shared" si="6"/>
        <v>0.21598894601819177</v>
      </c>
      <c r="V10" s="29">
        <f t="shared" si="4"/>
        <v>0.73660048946019341</v>
      </c>
      <c r="W10" s="30">
        <f t="shared" si="7"/>
        <v>0.5797695448707807</v>
      </c>
      <c r="X10" s="29">
        <f t="shared" si="5"/>
        <v>0.79239245004244319</v>
      </c>
      <c r="Y10" s="30">
        <f t="shared" si="8"/>
        <v>0.69442176935921418</v>
      </c>
      <c r="Z10" s="29">
        <f t="shared" si="0"/>
        <v>0.73660048946019341</v>
      </c>
      <c r="AA10" s="29">
        <f t="shared" si="1"/>
        <v>9.910590510611636E-2</v>
      </c>
    </row>
    <row r="11" spans="1:35" ht="15" customHeight="1">
      <c r="A11" s="25"/>
      <c r="B11" s="26"/>
      <c r="C11" s="26"/>
      <c r="D11" s="26"/>
      <c r="E11" s="26"/>
      <c r="Q11" s="30"/>
      <c r="R11" s="29">
        <f t="shared" si="2"/>
        <v>0.63369298130484197</v>
      </c>
      <c r="S11" s="30">
        <f t="shared" si="6"/>
        <v>0.15248930327765661</v>
      </c>
      <c r="T11" s="29">
        <f t="shared" si="3"/>
        <v>0.65595184828609021</v>
      </c>
      <c r="U11" s="30">
        <f t="shared" si="6"/>
        <v>0.1998791601286567</v>
      </c>
      <c r="V11" s="29">
        <f t="shared" si="4"/>
        <v>0.80561528614685296</v>
      </c>
      <c r="W11" s="30">
        <f t="shared" si="7"/>
        <v>0.53010231790473195</v>
      </c>
      <c r="X11" s="29">
        <f t="shared" si="5"/>
        <v>0.87252606300383417</v>
      </c>
      <c r="Y11" s="30">
        <f t="shared" si="8"/>
        <v>0.63064542197284268</v>
      </c>
      <c r="Z11" s="29">
        <f t="shared" si="0"/>
        <v>0.80561528614685296</v>
      </c>
      <c r="AA11" s="29">
        <f t="shared" si="1"/>
        <v>9.0615780838415719E-2</v>
      </c>
    </row>
    <row r="12" spans="1:35" ht="15" customHeight="1">
      <c r="A12" s="25" t="s">
        <v>54</v>
      </c>
      <c r="B12" s="32" t="s">
        <v>30</v>
      </c>
      <c r="C12" s="26"/>
      <c r="D12" s="25" t="s">
        <v>172</v>
      </c>
      <c r="E12" s="34">
        <v>0</v>
      </c>
      <c r="Q12" s="30"/>
      <c r="R12" s="29">
        <f t="shared" si="2"/>
        <v>0.68024325125465579</v>
      </c>
      <c r="S12" s="30">
        <f t="shared" si="6"/>
        <v>0.14205418581204199</v>
      </c>
      <c r="T12" s="29">
        <f t="shared" si="3"/>
        <v>0.70487677719816366</v>
      </c>
      <c r="U12" s="30">
        <f t="shared" si="6"/>
        <v>0.18600570874447206</v>
      </c>
      <c r="V12" s="29">
        <f t="shared" si="4"/>
        <v>0.87463008283351251</v>
      </c>
      <c r="W12" s="30">
        <f t="shared" si="7"/>
        <v>0.48827331566552351</v>
      </c>
      <c r="X12" s="29">
        <f t="shared" si="5"/>
        <v>0.95265967596522527</v>
      </c>
      <c r="Y12" s="30">
        <f t="shared" si="8"/>
        <v>0.57759825577569845</v>
      </c>
      <c r="Z12" s="29">
        <f t="shared" si="0"/>
        <v>0.87463008283351251</v>
      </c>
      <c r="AA12" s="29">
        <f t="shared" si="1"/>
        <v>8.3465524045388637E-2</v>
      </c>
    </row>
    <row r="13" spans="1:35" ht="15" customHeight="1">
      <c r="A13" s="24" t="s">
        <v>55</v>
      </c>
      <c r="B13" s="34">
        <v>0.05</v>
      </c>
      <c r="E13" s="87" t="str">
        <f>IF(OR(E12&lt;0,E12&gt;1),"errore","")</f>
        <v/>
      </c>
      <c r="Q13" s="30"/>
      <c r="R13" s="29">
        <f t="shared" si="2"/>
        <v>0.72679352120446961</v>
      </c>
      <c r="S13" s="30">
        <f t="shared" si="6"/>
        <v>0.13295578233963234</v>
      </c>
      <c r="T13" s="29">
        <f t="shared" si="3"/>
        <v>0.75380170611023711</v>
      </c>
      <c r="U13" s="30">
        <f t="shared" si="6"/>
        <v>0.17393314907288079</v>
      </c>
      <c r="V13" s="29">
        <f t="shared" si="4"/>
        <v>0.94364487952017195</v>
      </c>
      <c r="W13" s="30">
        <f t="shared" si="7"/>
        <v>0.45256275935400925</v>
      </c>
      <c r="X13" s="29">
        <f t="shared" si="5"/>
        <v>1.0327932889266163</v>
      </c>
      <c r="Y13" s="30">
        <f t="shared" si="8"/>
        <v>0.5327828647659365</v>
      </c>
      <c r="Z13" s="29">
        <f t="shared" si="0"/>
        <v>0.94364487952017195</v>
      </c>
      <c r="AA13" s="29">
        <f t="shared" si="1"/>
        <v>7.7361155445129795E-2</v>
      </c>
    </row>
    <row r="14" spans="1:35" ht="15" customHeight="1">
      <c r="A14" s="24" t="s">
        <v>27</v>
      </c>
      <c r="B14" s="35" t="s">
        <v>28</v>
      </c>
      <c r="Q14" s="30"/>
      <c r="R14" s="29">
        <f t="shared" si="2"/>
        <v>0.77334379115428331</v>
      </c>
      <c r="S14" s="30">
        <f t="shared" si="6"/>
        <v>0.12495270837680821</v>
      </c>
      <c r="T14" s="29">
        <f t="shared" si="3"/>
        <v>0.80272663502231056</v>
      </c>
      <c r="U14" s="30">
        <f t="shared" si="6"/>
        <v>0.16333219654112974</v>
      </c>
      <c r="V14" s="29">
        <f t="shared" si="4"/>
        <v>1.0126596762068316</v>
      </c>
      <c r="W14" s="30">
        <f t="shared" si="7"/>
        <v>0.42171969572797097</v>
      </c>
      <c r="X14" s="29">
        <f t="shared" si="5"/>
        <v>1.1129269018880072</v>
      </c>
      <c r="Y14" s="30">
        <f t="shared" si="8"/>
        <v>0.4944211216854274</v>
      </c>
      <c r="Z14" s="29">
        <f t="shared" si="0"/>
        <v>1.0126596762068316</v>
      </c>
      <c r="AA14" s="29">
        <f t="shared" si="1"/>
        <v>7.2088836876576232E-2</v>
      </c>
    </row>
    <row r="15" spans="1:35" ht="15" customHeight="1">
      <c r="Q15" s="30"/>
      <c r="R15" s="29">
        <f t="shared" si="2"/>
        <v>0.81989406110409713</v>
      </c>
      <c r="S15" s="30">
        <f t="shared" si="6"/>
        <v>0.11785839878019036</v>
      </c>
      <c r="T15" s="29">
        <f t="shared" si="3"/>
        <v>0.85165156393438401</v>
      </c>
      <c r="U15" s="30">
        <f t="shared" si="6"/>
        <v>0.1539492323768753</v>
      </c>
      <c r="V15" s="29">
        <f t="shared" si="4"/>
        <v>1.0816744728934911</v>
      </c>
      <c r="W15" s="30">
        <f t="shared" si="7"/>
        <v>0.39481243315610876</v>
      </c>
      <c r="X15" s="29">
        <f t="shared" si="5"/>
        <v>1.1930605148493982</v>
      </c>
      <c r="Y15" s="30">
        <f t="shared" si="8"/>
        <v>0.46121262110062838</v>
      </c>
      <c r="Z15" s="29">
        <f t="shared" si="0"/>
        <v>1.0816744728934911</v>
      </c>
      <c r="AA15" s="29">
        <f t="shared" si="1"/>
        <v>6.7489304813010048E-2</v>
      </c>
    </row>
    <row r="16" spans="1:35" ht="15" customHeight="1">
      <c r="A16" s="24" t="s">
        <v>56</v>
      </c>
      <c r="B16" s="27" t="s">
        <v>57</v>
      </c>
      <c r="C16" s="24" t="s">
        <v>58</v>
      </c>
      <c r="D16" s="24" t="s">
        <v>59</v>
      </c>
      <c r="E16" s="24" t="s">
        <v>60</v>
      </c>
      <c r="F16" s="24" t="s">
        <v>61</v>
      </c>
      <c r="G16" s="24" t="s">
        <v>62</v>
      </c>
      <c r="Q16" s="30"/>
      <c r="R16" s="29">
        <f t="shared" si="2"/>
        <v>0.86644433105391094</v>
      </c>
      <c r="S16" s="30">
        <f t="shared" si="6"/>
        <v>0.11152638172792655</v>
      </c>
      <c r="T16" s="29">
        <f t="shared" si="3"/>
        <v>0.90057649284645747</v>
      </c>
      <c r="U16" s="30">
        <f t="shared" si="6"/>
        <v>0.14558575041844599</v>
      </c>
      <c r="V16" s="29">
        <f t="shared" si="4"/>
        <v>1.1506892695801505</v>
      </c>
      <c r="W16" s="30">
        <f t="shared" si="7"/>
        <v>0.37113279997974652</v>
      </c>
      <c r="X16" s="29">
        <f t="shared" si="5"/>
        <v>1.2731941278107892</v>
      </c>
      <c r="Y16" s="30">
        <f t="shared" si="8"/>
        <v>0.43218434264341038</v>
      </c>
      <c r="Z16" s="29">
        <f t="shared" si="0"/>
        <v>1.1506892695801505</v>
      </c>
      <c r="AA16" s="29">
        <f t="shared" si="1"/>
        <v>6.6924999999999998E-2</v>
      </c>
    </row>
    <row r="17" spans="1:27" ht="15" customHeight="1">
      <c r="A17" s="27" t="s">
        <v>41</v>
      </c>
      <c r="B17" s="36">
        <f>MAX($AF$4,MIN($AG$4,$AD$4-$AE$4*D7*C7))*IF($B$12="T1",1,IF($B$12="T4",1+0.4*$E$12,1+0.2*$E$12))</f>
        <v>1.5</v>
      </c>
      <c r="C17" s="36">
        <f>B17*C7</f>
        <v>9.1499999999999998E-2</v>
      </c>
      <c r="D17" s="36">
        <f>E17/3</f>
        <v>0.14916396716852898</v>
      </c>
      <c r="E17" s="36">
        <f>$AD$5*E7^(-$AE$5)*E7</f>
        <v>0.44749190150558693</v>
      </c>
      <c r="F17" s="36">
        <f>4*C7+1.6</f>
        <v>1.8440000000000001</v>
      </c>
      <c r="G17" s="36">
        <f>C17*D7*$AD$6</f>
        <v>0.21593999999999999</v>
      </c>
      <c r="Q17" s="30"/>
      <c r="R17" s="29">
        <f t="shared" si="2"/>
        <v>0.91299460100372465</v>
      </c>
      <c r="S17" s="30">
        <f t="shared" si="6"/>
        <v>0.10584005765738611</v>
      </c>
      <c r="T17" s="29">
        <f t="shared" si="3"/>
        <v>0.94950142175853092</v>
      </c>
      <c r="U17" s="30">
        <f t="shared" si="6"/>
        <v>0.13808415818634426</v>
      </c>
      <c r="V17" s="29">
        <f t="shared" si="4"/>
        <v>1.2197040662668099</v>
      </c>
      <c r="W17" s="30">
        <f t="shared" si="7"/>
        <v>0.3501329071018377</v>
      </c>
      <c r="X17" s="29">
        <f t="shared" si="5"/>
        <v>1.3533277407721802</v>
      </c>
      <c r="Y17" s="30">
        <f t="shared" si="8"/>
        <v>0.40659372494011875</v>
      </c>
      <c r="Z17" s="29">
        <f t="shared" si="0"/>
        <v>1.2197040662668099</v>
      </c>
      <c r="AA17" s="29">
        <f t="shared" si="1"/>
        <v>6.6924999999999998E-2</v>
      </c>
    </row>
    <row r="18" spans="1:27" ht="15" customHeight="1">
      <c r="A18" s="37" t="s">
        <v>31</v>
      </c>
      <c r="B18" s="36">
        <f>MAX($AF$4,MIN($AG$4,$AD$4-$AE$4*D8*C8))*IF($B$12="T1",1,IF($B$12="T4",1+0.4*$E$12,1+0.2*$E$12))</f>
        <v>1.5</v>
      </c>
      <c r="C18" s="36">
        <f>B18*C8</f>
        <v>0.123</v>
      </c>
      <c r="D18" s="36">
        <f t="shared" ref="D18:D20" si="9">E18/3</f>
        <v>0.15341737754593213</v>
      </c>
      <c r="E18" s="36">
        <f>$AD$5*E8^(-$AE$5)*E8</f>
        <v>0.46025213263779635</v>
      </c>
      <c r="F18" s="36">
        <f>4*C8+1.6</f>
        <v>1.9280000000000002</v>
      </c>
      <c r="G18" s="36">
        <f>C18*D8*$AD$6</f>
        <v>0.28486799999999995</v>
      </c>
      <c r="Q18" s="30"/>
      <c r="R18" s="29">
        <f t="shared" si="2"/>
        <v>0.95954487095353846</v>
      </c>
      <c r="S18" s="30">
        <f t="shared" si="6"/>
        <v>0.10070545332089569</v>
      </c>
      <c r="T18" s="29">
        <f t="shared" si="3"/>
        <v>0.99842635067060437</v>
      </c>
      <c r="U18" s="30">
        <f t="shared" si="6"/>
        <v>0.1313177526136019</v>
      </c>
      <c r="V18" s="29">
        <f t="shared" si="4"/>
        <v>1.2887188629534694</v>
      </c>
      <c r="W18" s="30">
        <f t="shared" si="7"/>
        <v>0.33138222990482452</v>
      </c>
      <c r="X18" s="29">
        <f t="shared" si="5"/>
        <v>1.4334613537335712</v>
      </c>
      <c r="Y18" s="30">
        <f t="shared" si="8"/>
        <v>0.38386424981194761</v>
      </c>
      <c r="Z18" s="29">
        <f t="shared" si="0"/>
        <v>1.2887188629534694</v>
      </c>
      <c r="AA18" s="29">
        <f t="shared" si="1"/>
        <v>6.6924999999999998E-2</v>
      </c>
    </row>
    <row r="19" spans="1:27" ht="15" customHeight="1">
      <c r="A19" s="25" t="s">
        <v>29</v>
      </c>
      <c r="B19" s="36">
        <f>MAX($AF$4,MIN($AG$4,$AD$4-$AE$4*D9*C9))*IF($B$12="T1",1,IF($B$12="T4",1+0.4*$E$12,1+0.2*$E$12))</f>
        <v>1.3385</v>
      </c>
      <c r="C19" s="36">
        <f>B19*C9</f>
        <v>0.33462500000000001</v>
      </c>
      <c r="D19" s="36">
        <f t="shared" si="9"/>
        <v>0.17651869980007165</v>
      </c>
      <c r="E19" s="36">
        <f>$AD$5*E9^(-$AE$5)*E9</f>
        <v>0.52955609940021497</v>
      </c>
      <c r="F19" s="36">
        <f>4*C9+1.6</f>
        <v>2.6</v>
      </c>
      <c r="G19" s="36">
        <f>C19*D9*$AD$6</f>
        <v>0.80644625000000003</v>
      </c>
      <c r="Q19" s="30"/>
      <c r="R19" s="29">
        <f t="shared" si="2"/>
        <v>1.0060951409033523</v>
      </c>
      <c r="S19" s="30">
        <f t="shared" si="6"/>
        <v>9.6045987384804452E-2</v>
      </c>
      <c r="T19" s="29">
        <f t="shared" si="3"/>
        <v>1.0473512795826778</v>
      </c>
      <c r="U19" s="30">
        <f t="shared" si="6"/>
        <v>0.12518350535887598</v>
      </c>
      <c r="V19" s="29">
        <f t="shared" si="4"/>
        <v>1.3577336596401288</v>
      </c>
      <c r="W19" s="30">
        <f t="shared" si="7"/>
        <v>0.31453777955178908</v>
      </c>
      <c r="X19" s="29">
        <f t="shared" si="5"/>
        <v>1.5135949666949622</v>
      </c>
      <c r="Y19" s="30">
        <f t="shared" si="8"/>
        <v>0.36354148850459944</v>
      </c>
      <c r="Z19" s="29">
        <f t="shared" si="0"/>
        <v>1.3577336596401288</v>
      </c>
      <c r="AA19" s="29">
        <f t="shared" si="1"/>
        <v>6.6924999999999998E-2</v>
      </c>
    </row>
    <row r="20" spans="1:27" ht="15" customHeight="1">
      <c r="A20" s="25" t="s">
        <v>42</v>
      </c>
      <c r="B20" s="36">
        <f>MAX($AF$4,MIN($AG$4,$AD$4-$AE$4*D10*C10))*IF($B$12="T1",1,IF($B$12="T4",1+0.4*$E$12,1+0.2*$E$12))</f>
        <v>1.2026870000000001</v>
      </c>
      <c r="C20" s="36">
        <f>B20*C10</f>
        <v>0.40771089300000007</v>
      </c>
      <c r="D20" s="36">
        <f t="shared" si="9"/>
        <v>0.18399720371942338</v>
      </c>
      <c r="E20" s="36">
        <f>$AD$5*E10^(-$AE$5)*E10</f>
        <v>0.55199161115827011</v>
      </c>
      <c r="F20" s="36">
        <f>4*C10+1.6</f>
        <v>2.9560000000000004</v>
      </c>
      <c r="G20" s="36">
        <f>C20*D10*$AD$6</f>
        <v>0.99685313338500015</v>
      </c>
      <c r="Q20" s="30"/>
      <c r="R20" s="29">
        <f t="shared" si="2"/>
        <v>1.052645410853166</v>
      </c>
      <c r="S20" s="30">
        <f t="shared" si="6"/>
        <v>9.1798624888125402E-2</v>
      </c>
      <c r="T20" s="29">
        <f t="shared" si="3"/>
        <v>1.0962762084947513</v>
      </c>
      <c r="U20" s="30">
        <f t="shared" si="6"/>
        <v>0.11959677999423764</v>
      </c>
      <c r="V20" s="29">
        <f t="shared" si="4"/>
        <v>1.4267484563267885</v>
      </c>
      <c r="W20" s="30">
        <f t="shared" si="7"/>
        <v>0.29932293154562584</v>
      </c>
      <c r="X20" s="29">
        <f t="shared" si="5"/>
        <v>1.5937285796563534</v>
      </c>
      <c r="Y20" s="30">
        <f t="shared" si="8"/>
        <v>0.34526240804692376</v>
      </c>
      <c r="Z20" s="29">
        <f t="shared" si="0"/>
        <v>1.4267484563267885</v>
      </c>
      <c r="AA20" s="29">
        <f t="shared" si="1"/>
        <v>6.6924999999999998E-2</v>
      </c>
    </row>
    <row r="21" spans="1:27" ht="15" customHeight="1">
      <c r="Q21" s="30"/>
      <c r="R21" s="29">
        <f t="shared" si="2"/>
        <v>1.0991956808029797</v>
      </c>
      <c r="S21" s="30">
        <f t="shared" si="6"/>
        <v>8.7911008839232044E-2</v>
      </c>
      <c r="T21" s="29">
        <f t="shared" si="3"/>
        <v>1.1452011374068247</v>
      </c>
      <c r="U21" s="30">
        <f t="shared" si="6"/>
        <v>0.11448740333698032</v>
      </c>
      <c r="V21" s="29">
        <f t="shared" si="4"/>
        <v>1.4957632530134481</v>
      </c>
      <c r="W21" s="30">
        <f t="shared" si="7"/>
        <v>0.28551211541368909</v>
      </c>
      <c r="X21" s="29">
        <f t="shared" si="5"/>
        <v>1.6738621926177444</v>
      </c>
      <c r="Y21" s="30">
        <f t="shared" si="8"/>
        <v>0.32873349407863495</v>
      </c>
      <c r="Z21" s="29">
        <f t="shared" si="0"/>
        <v>1.4957632530134481</v>
      </c>
      <c r="AA21" s="29">
        <f t="shared" si="1"/>
        <v>6.6924999999999998E-2</v>
      </c>
    </row>
    <row r="22" spans="1:27" ht="15" customHeight="1">
      <c r="A22" s="38"/>
      <c r="G22" s="24" t="s">
        <v>63</v>
      </c>
      <c r="Q22" s="30"/>
      <c r="R22" s="29">
        <f t="shared" si="2"/>
        <v>1.1457459507527936</v>
      </c>
      <c r="S22" s="30">
        <f t="shared" si="6"/>
        <v>8.433929105106272E-2</v>
      </c>
      <c r="T22" s="29">
        <f t="shared" si="3"/>
        <v>1.1941260663188982</v>
      </c>
      <c r="U22" s="30">
        <f t="shared" si="6"/>
        <v>0.10979670255791049</v>
      </c>
      <c r="V22" s="29">
        <f t="shared" si="4"/>
        <v>1.5647780497001076</v>
      </c>
      <c r="W22" s="30">
        <f t="shared" si="7"/>
        <v>0.2729195559765023</v>
      </c>
      <c r="X22" s="29">
        <f t="shared" si="5"/>
        <v>1.7539958055791354</v>
      </c>
      <c r="Y22" s="30">
        <f t="shared" si="8"/>
        <v>0.31371487060293896</v>
      </c>
      <c r="Z22" s="29">
        <f t="shared" si="0"/>
        <v>1.5647780497001076</v>
      </c>
      <c r="AA22" s="29">
        <f t="shared" si="1"/>
        <v>6.6924999999999998E-2</v>
      </c>
    </row>
    <row r="23" spans="1:27" ht="15" customHeight="1">
      <c r="A23" s="24" t="s">
        <v>64</v>
      </c>
      <c r="B23" s="32">
        <v>0.61099999999999999</v>
      </c>
      <c r="F23" s="27" t="s">
        <v>41</v>
      </c>
      <c r="G23" s="36">
        <f>IF($B$23="","",IF($B$23&lt;D17,G17*($B$23/D17+(1-$B$23/D17)/D7/$AD$6),IF($B$23&lt;=E17,G17,IF($B$23&lt;F17,G17*E17/$B$23,G17*E17*F17/$B$23^2))))</f>
        <v>0.15815286613930676</v>
      </c>
      <c r="I23" s="24">
        <f>IF(B23="",-1,B23)</f>
        <v>0.61099999999999999</v>
      </c>
      <c r="J23" s="31">
        <f>IF($B$23="","",G23)</f>
        <v>0.15815286613930676</v>
      </c>
      <c r="L23" s="24">
        <f>I23</f>
        <v>0.61099999999999999</v>
      </c>
      <c r="M23" s="31">
        <f>IF($B$23="","",G25)</f>
        <v>0.69895013179366716</v>
      </c>
      <c r="Q23" s="30"/>
      <c r="R23" s="29">
        <f t="shared" si="2"/>
        <v>1.1922962207026073</v>
      </c>
      <c r="S23" s="30">
        <f t="shared" si="6"/>
        <v>8.104647111451263E-2</v>
      </c>
      <c r="T23" s="29">
        <f t="shared" si="3"/>
        <v>1.2430509952309716</v>
      </c>
      <c r="U23" s="30">
        <f t="shared" si="6"/>
        <v>0.10547524198385921</v>
      </c>
      <c r="V23" s="29">
        <f t="shared" si="4"/>
        <v>1.633792846386767</v>
      </c>
      <c r="W23" s="30">
        <f t="shared" si="7"/>
        <v>0.2613908681693623</v>
      </c>
      <c r="X23" s="29">
        <f t="shared" si="5"/>
        <v>1.8341294185405264</v>
      </c>
      <c r="Y23" s="30">
        <f t="shared" si="8"/>
        <v>0.30000858261311286</v>
      </c>
      <c r="Z23" s="29">
        <f t="shared" si="0"/>
        <v>1.633792846386767</v>
      </c>
      <c r="AA23" s="29">
        <f t="shared" si="1"/>
        <v>6.6924999999999998E-2</v>
      </c>
    </row>
    <row r="24" spans="1:27" ht="15" customHeight="1">
      <c r="A24" s="38"/>
      <c r="F24" s="37" t="s">
        <v>31</v>
      </c>
      <c r="G24" s="36">
        <f>IF($B$23="","",IF($B$23&lt;D18,G18*($B$23/D18+(1-$B$23/D18)/D8/$AD$6),IF($B$23&lt;=E18,G18,IF($B$23&lt;F18,G18*E18/$B$23,G18*E18*F18/$B$23^2))))</f>
        <v>0.21458445911663462</v>
      </c>
      <c r="I24" s="24">
        <f>I23</f>
        <v>0.61099999999999999</v>
      </c>
      <c r="J24" s="31">
        <f t="shared" ref="J24:J26" si="10">IF($B$23="","",G24)</f>
        <v>0.21458445911663462</v>
      </c>
      <c r="L24" s="24">
        <f>IF($B$29="",-1,I24)</f>
        <v>0.61099999999999999</v>
      </c>
      <c r="M24" s="31">
        <f>IF($B$23="","",G29)</f>
        <v>0.11947865500746449</v>
      </c>
      <c r="Q24" s="30"/>
      <c r="R24" s="29">
        <f t="shared" si="2"/>
        <v>1.238846490652421</v>
      </c>
      <c r="S24" s="30">
        <f t="shared" si="6"/>
        <v>7.8001109855206405E-2</v>
      </c>
      <c r="T24" s="29">
        <f t="shared" si="3"/>
        <v>1.2919759241430451</v>
      </c>
      <c r="U24" s="30">
        <f t="shared" si="6"/>
        <v>0.10148107412081109</v>
      </c>
      <c r="V24" s="29">
        <f t="shared" si="4"/>
        <v>1.7028076430734265</v>
      </c>
      <c r="W24" s="30">
        <f t="shared" si="7"/>
        <v>0.250796695835312</v>
      </c>
      <c r="X24" s="29">
        <f t="shared" si="5"/>
        <v>1.9142630315019173</v>
      </c>
      <c r="Y24" s="30">
        <f t="shared" si="8"/>
        <v>0.28744982174870204</v>
      </c>
      <c r="Z24" s="29">
        <f t="shared" si="0"/>
        <v>1.7028076430734265</v>
      </c>
      <c r="AA24" s="29">
        <f t="shared" si="1"/>
        <v>6.6924999999999998E-2</v>
      </c>
    </row>
    <row r="25" spans="1:27" ht="15" customHeight="1">
      <c r="A25" s="38"/>
      <c r="C25" s="39" t="s">
        <v>65</v>
      </c>
      <c r="D25" s="40">
        <f>IF(B23="","",G25/G23)</f>
        <v>4.4194591527541878</v>
      </c>
      <c r="F25" s="25" t="s">
        <v>29</v>
      </c>
      <c r="G25" s="36">
        <f>IF($B$23="","",IF($B$23&lt;D19,G19*($B$23/D19+(1-$B$23/D19)/D9/$AD$6),IF($B$23&lt;=E19,G19,IF($B$23&lt;F19,G19*E19/$B$23,G19*E19*F19/$B$23^2))))</f>
        <v>0.69895013179366716</v>
      </c>
      <c r="I25" s="24">
        <f t="shared" ref="I25:I26" si="11">I24</f>
        <v>0.61099999999999999</v>
      </c>
      <c r="J25" s="31">
        <f t="shared" si="10"/>
        <v>0.69895013179366716</v>
      </c>
      <c r="L25" s="24">
        <f t="shared" ref="L25:L26" si="12">I25</f>
        <v>0.61099999999999999</v>
      </c>
      <c r="M25" s="31">
        <f>IF($B$23="","",G23)</f>
        <v>0.15815286613930676</v>
      </c>
      <c r="Q25" s="30"/>
      <c r="R25" s="29">
        <f t="shared" si="2"/>
        <v>1.285396760602235</v>
      </c>
      <c r="S25" s="30">
        <f t="shared" si="6"/>
        <v>7.5176322341004367E-2</v>
      </c>
      <c r="T25" s="29">
        <f t="shared" si="3"/>
        <v>1.3409008530551187</v>
      </c>
      <c r="U25" s="30">
        <f t="shared" si="6"/>
        <v>9.7778373562474222E-2</v>
      </c>
      <c r="V25" s="29">
        <f t="shared" si="4"/>
        <v>1.7718224397600859</v>
      </c>
      <c r="W25" s="30">
        <f t="shared" si="7"/>
        <v>0.24102783718201276</v>
      </c>
      <c r="X25" s="29">
        <f t="shared" si="5"/>
        <v>1.9943966444633086</v>
      </c>
      <c r="Y25" s="30">
        <f t="shared" si="8"/>
        <v>0.27590026723767852</v>
      </c>
      <c r="Z25" s="29">
        <f t="shared" si="0"/>
        <v>1.7718224397600859</v>
      </c>
      <c r="AA25" s="29">
        <f t="shared" si="1"/>
        <v>6.6924999999999998E-2</v>
      </c>
    </row>
    <row r="26" spans="1:27" ht="15" customHeight="1">
      <c r="A26" s="38"/>
      <c r="C26" s="39" t="s">
        <v>66</v>
      </c>
      <c r="D26" s="88">
        <f>IF(B23="","",G25/G24*1.5)</f>
        <v>4.8858393660308961</v>
      </c>
      <c r="F26" s="25" t="s">
        <v>42</v>
      </c>
      <c r="G26" s="36">
        <f>IF($B$23="","",IF($B$23&lt;D20,G20*($B$23/D20+(1-$B$23/D20)/D10/$AD$6),IF($B$23&lt;=E20,G20,IF($B$23&lt;F20,G20*E20/$B$23,G20*E20*F20/$B$23^2))))</f>
        <v>0.90058030635901176</v>
      </c>
      <c r="I26" s="24">
        <f t="shared" si="11"/>
        <v>0.61099999999999999</v>
      </c>
      <c r="J26" s="31">
        <f t="shared" si="10"/>
        <v>0.90058030635901176</v>
      </c>
      <c r="L26" s="24">
        <f t="shared" si="12"/>
        <v>0.61099999999999999</v>
      </c>
      <c r="M26" s="31">
        <f>IF($B$23="","",G24)</f>
        <v>0.21458445911663462</v>
      </c>
      <c r="Q26" s="30"/>
      <c r="R26" s="29">
        <f t="shared" si="2"/>
        <v>1.3319470305520484</v>
      </c>
      <c r="S26" s="30">
        <f t="shared" si="6"/>
        <v>7.2548982050033836E-2</v>
      </c>
      <c r="T26" s="29">
        <f t="shared" si="3"/>
        <v>1.389825781967192</v>
      </c>
      <c r="U26" s="30">
        <f t="shared" si="6"/>
        <v>9.4336359435415004E-2</v>
      </c>
      <c r="V26" s="29">
        <f t="shared" si="4"/>
        <v>1.8408372364467454</v>
      </c>
      <c r="W26" s="30">
        <f t="shared" si="7"/>
        <v>0.23199146674708482</v>
      </c>
      <c r="X26" s="29">
        <f t="shared" si="5"/>
        <v>2.0745302574246995</v>
      </c>
      <c r="Y26" s="30">
        <f t="shared" si="8"/>
        <v>0.26524297016927412</v>
      </c>
      <c r="Z26" s="29">
        <f t="shared" si="0"/>
        <v>1.8408372364467454</v>
      </c>
      <c r="AA26" s="29">
        <f t="shared" si="1"/>
        <v>6.6924999999999998E-2</v>
      </c>
    </row>
    <row r="27" spans="1:27" ht="15" customHeight="1">
      <c r="A27" s="38"/>
      <c r="Q27" s="30"/>
      <c r="R27" s="29">
        <f t="shared" si="2"/>
        <v>1.3784973005018624</v>
      </c>
      <c r="S27" s="30">
        <f t="shared" si="6"/>
        <v>7.0099086284707512E-2</v>
      </c>
      <c r="T27" s="29">
        <f t="shared" si="3"/>
        <v>1.4387507108792654</v>
      </c>
      <c r="U27" s="30">
        <f t="shared" si="6"/>
        <v>9.1128437698659887E-2</v>
      </c>
      <c r="V27" s="29">
        <f t="shared" si="4"/>
        <v>1.9098520331334048</v>
      </c>
      <c r="W27" s="30">
        <f t="shared" si="7"/>
        <v>0.223608176506363</v>
      </c>
      <c r="X27" s="29">
        <f t="shared" si="5"/>
        <v>2.1546638703860905</v>
      </c>
      <c r="Y27" s="30">
        <f t="shared" si="8"/>
        <v>0.25537837931387275</v>
      </c>
      <c r="Z27" s="29">
        <f t="shared" si="0"/>
        <v>1.9098520331334048</v>
      </c>
      <c r="AA27" s="29">
        <f t="shared" si="1"/>
        <v>6.6924999999999998E-2</v>
      </c>
    </row>
    <row r="28" spans="1:27" ht="15" customHeight="1">
      <c r="A28" s="20"/>
      <c r="F28" s="24" t="s">
        <v>67</v>
      </c>
      <c r="G28" s="24" t="s">
        <v>68</v>
      </c>
      <c r="Q28" s="30"/>
      <c r="R28" s="29">
        <f t="shared" si="2"/>
        <v>1.4250475704516761</v>
      </c>
      <c r="S28" s="30">
        <f t="shared" si="6"/>
        <v>6.7809245961163681E-2</v>
      </c>
      <c r="T28" s="29">
        <f t="shared" si="3"/>
        <v>1.4876756397913391</v>
      </c>
      <c r="U28" s="30">
        <f t="shared" si="6"/>
        <v>8.8131512685556482E-2</v>
      </c>
      <c r="V28" s="29">
        <f t="shared" si="4"/>
        <v>1.9788668298200647</v>
      </c>
      <c r="W28" s="30">
        <f t="shared" si="7"/>
        <v>0.21580963614654272</v>
      </c>
      <c r="X28" s="29">
        <f t="shared" si="5"/>
        <v>2.2347974833474815</v>
      </c>
      <c r="Y28" s="30">
        <f t="shared" si="8"/>
        <v>0.24622122196107682</v>
      </c>
      <c r="Z28" s="29">
        <f t="shared" si="0"/>
        <v>1.9788668298200647</v>
      </c>
      <c r="AA28" s="29">
        <f t="shared" si="1"/>
        <v>6.6924999999999998E-2</v>
      </c>
    </row>
    <row r="29" spans="1:27" ht="15" customHeight="1">
      <c r="A29" s="41" t="s">
        <v>69</v>
      </c>
      <c r="B29" s="32">
        <v>5.85</v>
      </c>
      <c r="F29" s="36">
        <f>IF(OR($B$23="",$B$29=""),"",G19/B29/AD6)</f>
        <v>0.13785405982905985</v>
      </c>
      <c r="G29" s="99">
        <f>IF(OR($B$23="",$B$29=""),"",IF($B$23&lt;D19,G19/B29/AD6*($B$23/D19+(1-$B$23/D19)/D9),IF($B$23&lt;=E19,G19/B29/AD6,IF($B$23&lt;F19,G19/B29/AD6*E19/$B$23,G19/B29/AD6*E19*F19/$B$23^2))))</f>
        <v>0.11947865500746449</v>
      </c>
      <c r="Q29" s="30"/>
      <c r="R29" s="29">
        <f t="shared" si="2"/>
        <v>1.47159784040149</v>
      </c>
      <c r="S29" s="30">
        <f t="shared" si="6"/>
        <v>6.5664272234018023E-2</v>
      </c>
      <c r="T29" s="29">
        <f t="shared" si="3"/>
        <v>1.5366005687034123</v>
      </c>
      <c r="U29" s="30">
        <f t="shared" si="6"/>
        <v>8.5325430167512983E-2</v>
      </c>
      <c r="V29" s="29">
        <f t="shared" si="4"/>
        <v>2.0478816265067241</v>
      </c>
      <c r="W29" s="30">
        <f t="shared" si="7"/>
        <v>0.20853672643882593</v>
      </c>
      <c r="X29" s="29">
        <f t="shared" si="5"/>
        <v>2.3149310963088725</v>
      </c>
      <c r="Y29" s="30">
        <f t="shared" si="8"/>
        <v>0.23769803259489231</v>
      </c>
      <c r="Z29" s="29">
        <f t="shared" si="0"/>
        <v>2.0478816265067241</v>
      </c>
      <c r="AA29" s="29">
        <f t="shared" si="1"/>
        <v>6.6924999999999998E-2</v>
      </c>
    </row>
    <row r="30" spans="1:27" ht="15" customHeight="1">
      <c r="A30" s="20"/>
      <c r="C30" s="89"/>
      <c r="D30" s="42"/>
      <c r="Q30" s="30"/>
      <c r="R30" s="29">
        <f t="shared" si="2"/>
        <v>1.5181481103513037</v>
      </c>
      <c r="S30" s="30">
        <f t="shared" si="6"/>
        <v>6.3650839171914303E-2</v>
      </c>
      <c r="T30" s="29">
        <f t="shared" si="3"/>
        <v>1.585525497615486</v>
      </c>
      <c r="U30" s="30">
        <f t="shared" si="6"/>
        <v>8.2692523530807444E-2</v>
      </c>
      <c r="V30" s="29">
        <f t="shared" si="4"/>
        <v>2.1168964231933836</v>
      </c>
      <c r="W30" s="30">
        <f t="shared" si="7"/>
        <v>0.20173803774570306</v>
      </c>
      <c r="X30" s="29">
        <f t="shared" si="5"/>
        <v>2.3950647092702635</v>
      </c>
      <c r="Y30" s="30">
        <f t="shared" si="8"/>
        <v>0.22974517767956656</v>
      </c>
      <c r="Z30" s="29">
        <f t="shared" si="0"/>
        <v>2.1168964231933836</v>
      </c>
      <c r="AA30" s="29">
        <f t="shared" si="1"/>
        <v>6.6924999999999998E-2</v>
      </c>
    </row>
    <row r="31" spans="1:27" ht="15" customHeight="1">
      <c r="Q31" s="30"/>
      <c r="R31" s="29">
        <f t="shared" si="2"/>
        <v>1.5646983803011174</v>
      </c>
      <c r="S31" s="30">
        <f t="shared" si="6"/>
        <v>6.1757206646127071E-2</v>
      </c>
      <c r="T31" s="29">
        <f t="shared" si="3"/>
        <v>1.6344504265275595</v>
      </c>
      <c r="U31" s="30">
        <f t="shared" si="6"/>
        <v>8.0217241460674563E-2</v>
      </c>
      <c r="V31" s="29">
        <f t="shared" si="4"/>
        <v>2.185911219880043</v>
      </c>
      <c r="W31" s="30">
        <f t="shared" si="7"/>
        <v>0.19536865296357575</v>
      </c>
      <c r="X31" s="29">
        <f t="shared" si="5"/>
        <v>2.4751983222316545</v>
      </c>
      <c r="Y31" s="30">
        <f t="shared" si="8"/>
        <v>0.22230726412631177</v>
      </c>
      <c r="Z31" s="29">
        <f t="shared" si="0"/>
        <v>2.185911219880043</v>
      </c>
      <c r="AA31" s="29">
        <f t="shared" si="1"/>
        <v>6.6924999999999998E-2</v>
      </c>
    </row>
    <row r="32" spans="1:27" ht="15" customHeight="1">
      <c r="Q32" s="30"/>
      <c r="R32" s="29">
        <f t="shared" si="2"/>
        <v>1.6112486502509313</v>
      </c>
      <c r="S32" s="30">
        <f t="shared" si="6"/>
        <v>5.9972991254991795E-2</v>
      </c>
      <c r="T32" s="29">
        <f t="shared" si="3"/>
        <v>1.6833753554396327</v>
      </c>
      <c r="U32" s="30">
        <f t="shared" si="6"/>
        <v>7.7885840550411645E-2</v>
      </c>
      <c r="V32" s="29">
        <f t="shared" si="4"/>
        <v>2.2549260165667024</v>
      </c>
      <c r="W32" s="30">
        <f t="shared" si="7"/>
        <v>0.18938915396264749</v>
      </c>
      <c r="X32" s="29">
        <f t="shared" si="5"/>
        <v>2.5553319351930455</v>
      </c>
      <c r="Y32" s="30">
        <f t="shared" si="8"/>
        <v>0.21533584721696306</v>
      </c>
      <c r="Z32" s="29">
        <f t="shared" si="0"/>
        <v>2.2549260165667024</v>
      </c>
      <c r="AA32" s="29">
        <f t="shared" si="1"/>
        <v>6.6924999999999998E-2</v>
      </c>
    </row>
    <row r="33" spans="17:27" ht="15" customHeight="1">
      <c r="Q33" s="30"/>
      <c r="R33" s="29">
        <f t="shared" si="2"/>
        <v>1.657798920200745</v>
      </c>
      <c r="S33" s="30">
        <f t="shared" si="6"/>
        <v>5.8288975842386972E-2</v>
      </c>
      <c r="T33" s="29">
        <f t="shared" si="3"/>
        <v>1.7323002843517064</v>
      </c>
      <c r="U33" s="30">
        <f t="shared" si="6"/>
        <v>7.5686129999875049E-2</v>
      </c>
      <c r="V33" s="29">
        <f t="shared" si="4"/>
        <v>2.3239408132533619</v>
      </c>
      <c r="W33" s="30">
        <f t="shared" si="7"/>
        <v>0.18376480506320519</v>
      </c>
      <c r="X33" s="29">
        <f t="shared" si="5"/>
        <v>2.6354655481544365</v>
      </c>
      <c r="Y33" s="30">
        <f t="shared" si="8"/>
        <v>0.20878837424783958</v>
      </c>
      <c r="Z33" s="29">
        <f t="shared" si="0"/>
        <v>2.3239408132533619</v>
      </c>
      <c r="AA33" s="29">
        <f t="shared" si="1"/>
        <v>6.6924999999999998E-2</v>
      </c>
    </row>
    <row r="34" spans="17:27" ht="15" customHeight="1">
      <c r="Q34" s="30"/>
      <c r="R34" s="29">
        <f t="shared" si="2"/>
        <v>1.7043491901505587</v>
      </c>
      <c r="S34" s="30">
        <f t="shared" si="6"/>
        <v>5.6696950231531026E-2</v>
      </c>
      <c r="T34" s="29">
        <f t="shared" si="3"/>
        <v>1.7812252132637798</v>
      </c>
      <c r="U34" s="30">
        <f t="shared" si="6"/>
        <v>7.3607258388188809E-2</v>
      </c>
      <c r="V34" s="29">
        <f t="shared" si="4"/>
        <v>2.3929556099400213</v>
      </c>
      <c r="W34" s="30">
        <f t="shared" si="7"/>
        <v>0.17846487780717116</v>
      </c>
      <c r="X34" s="29">
        <f t="shared" si="5"/>
        <v>2.7155991611158274</v>
      </c>
      <c r="Y34" s="30">
        <f t="shared" si="8"/>
        <v>0.20262731520334504</v>
      </c>
      <c r="Z34" s="29">
        <f t="shared" si="0"/>
        <v>2.3929556099400213</v>
      </c>
      <c r="AA34" s="29">
        <f t="shared" si="1"/>
        <v>6.6924999999999998E-2</v>
      </c>
    </row>
    <row r="35" spans="17:27" ht="15" customHeight="1">
      <c r="Q35" s="30"/>
      <c r="R35" s="29">
        <f t="shared" si="2"/>
        <v>1.7508994601003725</v>
      </c>
      <c r="S35" s="30">
        <f t="shared" si="6"/>
        <v>5.5189577364754529E-2</v>
      </c>
      <c r="T35" s="29">
        <f t="shared" si="3"/>
        <v>1.8301501421758533</v>
      </c>
      <c r="U35" s="30">
        <f t="shared" si="6"/>
        <v>7.1639534647352288E-2</v>
      </c>
      <c r="V35" s="29">
        <f t="shared" si="4"/>
        <v>2.4619704066266812</v>
      </c>
      <c r="W35" s="30">
        <f t="shared" si="7"/>
        <v>0.17346208929906415</v>
      </c>
      <c r="X35" s="29">
        <f t="shared" si="5"/>
        <v>2.7957327740772184</v>
      </c>
      <c r="Y35" s="30">
        <f t="shared" si="8"/>
        <v>0.19681944293369652</v>
      </c>
      <c r="Z35" s="29">
        <f t="shared" si="0"/>
        <v>2.4619704066266812</v>
      </c>
      <c r="AA35" s="29">
        <f t="shared" si="1"/>
        <v>6.6924999999999998E-2</v>
      </c>
    </row>
    <row r="36" spans="17:27" ht="15" customHeight="1">
      <c r="Q36" s="30"/>
      <c r="R36" s="29">
        <f t="shared" si="2"/>
        <v>1.7974497300501864</v>
      </c>
      <c r="S36" s="30">
        <f t="shared" si="6"/>
        <v>5.3760280243508339E-2</v>
      </c>
      <c r="T36" s="29">
        <f t="shared" si="3"/>
        <v>1.8790750710879267</v>
      </c>
      <c r="U36" s="30">
        <f t="shared" si="6"/>
        <v>6.9774277003395321E-2</v>
      </c>
      <c r="V36" s="29">
        <f t="shared" si="4"/>
        <v>2.5309852033133406</v>
      </c>
      <c r="W36" s="30">
        <f t="shared" si="7"/>
        <v>0.16873213243872923</v>
      </c>
      <c r="X36" s="29">
        <f t="shared" si="5"/>
        <v>2.8758663870386094</v>
      </c>
      <c r="Y36" s="30">
        <f t="shared" si="8"/>
        <v>0.19133523367612865</v>
      </c>
      <c r="Z36" s="29">
        <f t="shared" si="0"/>
        <v>2.5309852033133406</v>
      </c>
      <c r="AA36" s="29">
        <f t="shared" si="1"/>
        <v>6.6924999999999998E-2</v>
      </c>
    </row>
    <row r="37" spans="17:27" ht="15" customHeight="1">
      <c r="Q37" s="30" t="s">
        <v>70</v>
      </c>
      <c r="R37" s="29">
        <f>MIN(3,F17)</f>
        <v>1.8440000000000001</v>
      </c>
      <c r="S37" s="30">
        <f t="shared" si="6"/>
        <v>5.2403145993013246E-2</v>
      </c>
      <c r="T37" s="29">
        <f>MIN(3,F18)</f>
        <v>1.9280000000000002</v>
      </c>
      <c r="U37" s="30">
        <f t="shared" si="6"/>
        <v>6.800368491714924E-2</v>
      </c>
      <c r="V37" s="29">
        <f>MIN(3,F19)</f>
        <v>2.6</v>
      </c>
      <c r="W37" s="30">
        <f t="shared" si="7"/>
        <v>0.16425328097151176</v>
      </c>
      <c r="X37" s="29">
        <f>MIN(3,F20)</f>
        <v>2.9560000000000004</v>
      </c>
      <c r="Y37" s="30">
        <f t="shared" si="8"/>
        <v>0.18614836508300273</v>
      </c>
      <c r="Z37" s="29">
        <f t="shared" si="0"/>
        <v>2.6</v>
      </c>
      <c r="AA37" s="29">
        <f t="shared" si="1"/>
        <v>6.6924999999999998E-2</v>
      </c>
    </row>
    <row r="38" spans="17:27" ht="15" customHeight="1">
      <c r="Q38" s="30"/>
      <c r="R38" s="29">
        <f t="shared" ref="R38:R51" si="13">R$37+(R$52-R$37)*(ROW(R38)-ROW(R$37))/15</f>
        <v>1.9210666666666667</v>
      </c>
      <c r="S38" s="30">
        <f>S$7*R$7*R$37/R38^2</f>
        <v>4.8283008272591237E-2</v>
      </c>
      <c r="T38" s="29">
        <f t="shared" ref="T38:T51" si="14">T$37+(T$52-T$37)*(ROW(T38)-ROW(T$37))/15</f>
        <v>1.9994666666666667</v>
      </c>
      <c r="U38" s="30">
        <f>U$7*T$7*T$37/T38^2</f>
        <v>6.322927015988207E-2</v>
      </c>
      <c r="V38" s="29">
        <f t="shared" ref="V38:V51" si="15">V$37+(V$52-V$37)*(ROW(V38)-ROW(V$37))/15</f>
        <v>2.6266666666666669</v>
      </c>
      <c r="W38" s="30">
        <f>W$7*V$7*V$37/V38^2</f>
        <v>0.16093511837310248</v>
      </c>
      <c r="X38" s="29">
        <f t="shared" ref="X38:X51" si="16">X$37+(X$52-X$37)*(ROW(X38)-ROW(X$37))/15</f>
        <v>2.9589333333333339</v>
      </c>
      <c r="Y38" s="30">
        <f>Y$7*X$7*X$37/X38^2</f>
        <v>0.18577947231845296</v>
      </c>
      <c r="Z38" s="29">
        <f t="shared" si="0"/>
        <v>2.6266666666666669</v>
      </c>
      <c r="AA38" s="29">
        <f t="shared" si="1"/>
        <v>6.6924999999999998E-2</v>
      </c>
    </row>
    <row r="39" spans="17:27" ht="15" customHeight="1">
      <c r="Q39" s="30"/>
      <c r="R39" s="29">
        <f t="shared" si="13"/>
        <v>1.9981333333333333</v>
      </c>
      <c r="S39" s="30">
        <f t="shared" ref="S39:U52" si="17">S$7*R$7*R$37/R39^2</f>
        <v>4.4630347061514961E-2</v>
      </c>
      <c r="T39" s="29">
        <f t="shared" si="14"/>
        <v>2.0709333333333335</v>
      </c>
      <c r="U39" s="30">
        <f t="shared" si="17"/>
        <v>5.8940561469759234E-2</v>
      </c>
      <c r="V39" s="29">
        <f t="shared" si="15"/>
        <v>2.6533333333333333</v>
      </c>
      <c r="W39" s="30">
        <f t="shared" ref="W39:W52" si="18">W$7*V$7*V$37/V39^2</f>
        <v>0.15771649728395079</v>
      </c>
      <c r="X39" s="29">
        <f t="shared" si="16"/>
        <v>2.9618666666666669</v>
      </c>
      <c r="Y39" s="30">
        <f t="shared" ref="Y39:Y52" si="19">Y$7*X$7*X$37/X39^2</f>
        <v>0.18541167502812134</v>
      </c>
      <c r="Z39" s="29">
        <f t="shared" si="0"/>
        <v>2.6533333333333333</v>
      </c>
      <c r="AA39" s="29">
        <f t="shared" si="1"/>
        <v>6.6924999999999998E-2</v>
      </c>
    </row>
    <row r="40" spans="17:27" ht="15" customHeight="1">
      <c r="Q40" s="30"/>
      <c r="R40" s="29">
        <f t="shared" si="13"/>
        <v>2.0752000000000002</v>
      </c>
      <c r="S40" s="30">
        <f t="shared" si="17"/>
        <v>4.1377026389041026E-2</v>
      </c>
      <c r="T40" s="29">
        <f t="shared" si="14"/>
        <v>2.1424000000000003</v>
      </c>
      <c r="U40" s="30">
        <f t="shared" si="17"/>
        <v>5.5073843516710227E-2</v>
      </c>
      <c r="V40" s="29">
        <f t="shared" si="15"/>
        <v>2.68</v>
      </c>
      <c r="W40" s="30">
        <f t="shared" si="18"/>
        <v>0.15459347563034911</v>
      </c>
      <c r="X40" s="29">
        <f t="shared" si="16"/>
        <v>2.9648000000000003</v>
      </c>
      <c r="Y40" s="30">
        <f t="shared" si="19"/>
        <v>0.18504496887876312</v>
      </c>
      <c r="Z40" s="29">
        <f t="shared" si="0"/>
        <v>2.68</v>
      </c>
      <c r="AA40" s="29">
        <f t="shared" si="1"/>
        <v>6.6924999999999998E-2</v>
      </c>
    </row>
    <row r="41" spans="17:27" ht="15" customHeight="1">
      <c r="Q41" s="30"/>
      <c r="R41" s="29">
        <f t="shared" si="13"/>
        <v>2.1522666666666668</v>
      </c>
      <c r="S41" s="30">
        <f t="shared" si="17"/>
        <v>3.8466886377449251E-2</v>
      </c>
      <c r="T41" s="29">
        <f t="shared" si="14"/>
        <v>2.2138666666666666</v>
      </c>
      <c r="U41" s="30">
        <f t="shared" si="17"/>
        <v>5.1575516154264263E-2</v>
      </c>
      <c r="V41" s="29">
        <f t="shared" si="15"/>
        <v>2.7066666666666666</v>
      </c>
      <c r="W41" s="30">
        <f t="shared" si="18"/>
        <v>0.15156230456797631</v>
      </c>
      <c r="X41" s="29">
        <f t="shared" si="16"/>
        <v>2.9677333333333338</v>
      </c>
      <c r="Y41" s="30">
        <f t="shared" si="19"/>
        <v>0.18467934955853829</v>
      </c>
      <c r="Z41" s="29">
        <f t="shared" si="0"/>
        <v>2.7066666666666666</v>
      </c>
      <c r="AA41" s="29">
        <f t="shared" si="1"/>
        <v>6.6924999999999998E-2</v>
      </c>
    </row>
    <row r="42" spans="17:27" ht="15" customHeight="1">
      <c r="Q42" s="30"/>
      <c r="R42" s="29">
        <f t="shared" si="13"/>
        <v>2.2293333333333334</v>
      </c>
      <c r="S42" s="30">
        <f t="shared" si="17"/>
        <v>3.5853303247632883E-2</v>
      </c>
      <c r="T42" s="29">
        <f t="shared" si="14"/>
        <v>2.2853333333333334</v>
      </c>
      <c r="U42" s="30">
        <f t="shared" si="17"/>
        <v>4.8400226854494334E-2</v>
      </c>
      <c r="V42" s="29">
        <f t="shared" si="15"/>
        <v>2.7333333333333334</v>
      </c>
      <c r="W42" s="30">
        <f t="shared" si="18"/>
        <v>0.14861941722645414</v>
      </c>
      <c r="X42" s="29">
        <f t="shared" si="16"/>
        <v>2.9706666666666668</v>
      </c>
      <c r="Y42" s="30">
        <f t="shared" si="19"/>
        <v>0.18431481277688466</v>
      </c>
      <c r="Z42" s="29">
        <f t="shared" si="0"/>
        <v>2.7333333333333334</v>
      </c>
      <c r="AA42" s="29">
        <f t="shared" si="1"/>
        <v>6.6924999999999998E-2</v>
      </c>
    </row>
    <row r="43" spans="17:27" ht="15" customHeight="1">
      <c r="Q43" s="30"/>
      <c r="R43" s="29">
        <f t="shared" si="13"/>
        <v>2.3064</v>
      </c>
      <c r="S43" s="30">
        <f t="shared" si="17"/>
        <v>3.3497310202478613E-2</v>
      </c>
      <c r="T43" s="29">
        <f t="shared" si="14"/>
        <v>2.3568000000000002</v>
      </c>
      <c r="U43" s="30">
        <f t="shared" si="17"/>
        <v>4.5509393381304129E-2</v>
      </c>
      <c r="V43" s="29">
        <f t="shared" si="15"/>
        <v>2.7600000000000002</v>
      </c>
      <c r="W43" s="30">
        <f t="shared" si="18"/>
        <v>0.14576141821143396</v>
      </c>
      <c r="X43" s="29">
        <f t="shared" si="16"/>
        <v>2.9736000000000002</v>
      </c>
      <c r="Y43" s="30">
        <f t="shared" si="19"/>
        <v>0.18395135426439158</v>
      </c>
      <c r="Z43" s="29">
        <f t="shared" si="0"/>
        <v>2.7600000000000002</v>
      </c>
      <c r="AA43" s="29">
        <f t="shared" si="1"/>
        <v>6.6924999999999998E-2</v>
      </c>
    </row>
    <row r="44" spans="17:27" ht="15" customHeight="1">
      <c r="Q44" s="30"/>
      <c r="R44" s="29">
        <f t="shared" si="13"/>
        <v>2.3834666666666666</v>
      </c>
      <c r="S44" s="30">
        <f t="shared" si="17"/>
        <v>3.1366136538316935E-2</v>
      </c>
      <c r="T44" s="29">
        <f t="shared" si="14"/>
        <v>2.4282666666666666</v>
      </c>
      <c r="U44" s="30">
        <f t="shared" si="17"/>
        <v>4.2870026218110008E-2</v>
      </c>
      <c r="V44" s="29">
        <f t="shared" si="15"/>
        <v>2.7866666666666666</v>
      </c>
      <c r="W44" s="30">
        <f t="shared" si="18"/>
        <v>0.14298507380650022</v>
      </c>
      <c r="X44" s="29">
        <f t="shared" si="16"/>
        <v>2.9765333333333337</v>
      </c>
      <c r="Y44" s="30">
        <f t="shared" si="19"/>
        <v>0.18358896977267558</v>
      </c>
      <c r="Z44" s="29">
        <f t="shared" si="0"/>
        <v>2.7866666666666666</v>
      </c>
      <c r="AA44" s="29">
        <f t="shared" si="1"/>
        <v>6.6924999999999998E-2</v>
      </c>
    </row>
    <row r="45" spans="17:27" ht="15" customHeight="1">
      <c r="Q45" s="30"/>
      <c r="R45" s="29">
        <f t="shared" si="13"/>
        <v>2.4605333333333332</v>
      </c>
      <c r="S45" s="30">
        <f t="shared" si="17"/>
        <v>2.9432061889601749E-2</v>
      </c>
      <c r="T45" s="29">
        <f t="shared" si="14"/>
        <v>2.4997333333333334</v>
      </c>
      <c r="U45" s="30">
        <f t="shared" si="17"/>
        <v>4.0453783202553356E-2</v>
      </c>
      <c r="V45" s="29">
        <f t="shared" si="15"/>
        <v>2.8133333333333335</v>
      </c>
      <c r="W45" s="30">
        <f t="shared" si="18"/>
        <v>0.14028730282207799</v>
      </c>
      <c r="X45" s="29">
        <f t="shared" si="16"/>
        <v>2.9794666666666667</v>
      </c>
      <c r="Y45" s="30">
        <f t="shared" si="19"/>
        <v>0.18322765507425573</v>
      </c>
      <c r="Z45" s="29">
        <f t="shared" si="0"/>
        <v>2.8133333333333335</v>
      </c>
      <c r="AA45" s="29">
        <f t="shared" si="1"/>
        <v>6.6924999999999998E-2</v>
      </c>
    </row>
    <row r="46" spans="17:27" ht="15" customHeight="1">
      <c r="Q46" s="30"/>
      <c r="R46" s="29">
        <f t="shared" si="13"/>
        <v>2.5376000000000003</v>
      </c>
      <c r="S46" s="30">
        <f t="shared" si="17"/>
        <v>2.7671510245258518E-2</v>
      </c>
      <c r="T46" s="29">
        <f t="shared" si="14"/>
        <v>2.5712000000000002</v>
      </c>
      <c r="U46" s="30">
        <f t="shared" si="17"/>
        <v>3.8236205474657441E-2</v>
      </c>
      <c r="V46" s="29">
        <f t="shared" si="15"/>
        <v>2.84</v>
      </c>
      <c r="W46" s="30">
        <f t="shared" si="18"/>
        <v>0.13766516804297504</v>
      </c>
      <c r="X46" s="29">
        <f t="shared" si="16"/>
        <v>2.9824000000000002</v>
      </c>
      <c r="Y46" s="30">
        <f t="shared" si="19"/>
        <v>0.18286740596243051</v>
      </c>
      <c r="Z46" s="29">
        <f t="shared" si="0"/>
        <v>2.84</v>
      </c>
      <c r="AA46" s="29">
        <f t="shared" si="1"/>
        <v>6.6924999999999998E-2</v>
      </c>
    </row>
    <row r="47" spans="17:27" ht="15" customHeight="1">
      <c r="Q47" s="30"/>
      <c r="R47" s="29">
        <f t="shared" si="13"/>
        <v>2.6146666666666665</v>
      </c>
      <c r="S47" s="30">
        <f t="shared" si="17"/>
        <v>2.6064328060158962E-2</v>
      </c>
      <c r="T47" s="29">
        <f t="shared" si="14"/>
        <v>2.6426666666666669</v>
      </c>
      <c r="U47" s="30">
        <f t="shared" si="17"/>
        <v>3.619609605832564E-2</v>
      </c>
      <c r="V47" s="29">
        <f t="shared" si="15"/>
        <v>2.8666666666666667</v>
      </c>
      <c r="W47" s="30">
        <f t="shared" si="18"/>
        <v>0.13511586823021601</v>
      </c>
      <c r="X47" s="29">
        <f t="shared" si="16"/>
        <v>2.9853333333333336</v>
      </c>
      <c r="Y47" s="30">
        <f t="shared" si="19"/>
        <v>0.18250821825115551</v>
      </c>
      <c r="Z47" s="29">
        <f t="shared" si="0"/>
        <v>2.8666666666666667</v>
      </c>
      <c r="AA47" s="29">
        <f t="shared" si="1"/>
        <v>6.6924999999999998E-2</v>
      </c>
    </row>
    <row r="48" spans="17:27" ht="15" customHeight="1">
      <c r="Q48" s="30"/>
      <c r="R48" s="29">
        <f t="shared" si="13"/>
        <v>2.6917333333333335</v>
      </c>
      <c r="S48" s="30">
        <f t="shared" si="17"/>
        <v>2.4593204918503173E-2</v>
      </c>
      <c r="T48" s="29">
        <f t="shared" si="14"/>
        <v>2.7141333333333333</v>
      </c>
      <c r="U48" s="30">
        <f t="shared" si="17"/>
        <v>3.4315011437652192E-2</v>
      </c>
      <c r="V48" s="29">
        <f t="shared" si="15"/>
        <v>2.8933333333333335</v>
      </c>
      <c r="W48" s="30">
        <f t="shared" si="18"/>
        <v>0.1326367306364912</v>
      </c>
      <c r="X48" s="29">
        <f t="shared" si="16"/>
        <v>2.9882666666666666</v>
      </c>
      <c r="Y48" s="30">
        <f t="shared" si="19"/>
        <v>0.18215008777492162</v>
      </c>
      <c r="Z48" s="29">
        <f t="shared" si="0"/>
        <v>2.8933333333333335</v>
      </c>
      <c r="AA48" s="29">
        <f t="shared" si="1"/>
        <v>6.6924999999999998E-2</v>
      </c>
    </row>
    <row r="49" spans="17:27" ht="15" customHeight="1">
      <c r="Q49" s="30"/>
      <c r="R49" s="29">
        <f t="shared" si="13"/>
        <v>2.7688000000000001</v>
      </c>
      <c r="S49" s="30">
        <f t="shared" si="17"/>
        <v>2.324320546247147E-2</v>
      </c>
      <c r="T49" s="29">
        <f t="shared" si="14"/>
        <v>2.7856000000000001</v>
      </c>
      <c r="U49" s="30">
        <f t="shared" si="17"/>
        <v>3.2576843242336194E-2</v>
      </c>
      <c r="V49" s="29">
        <f t="shared" si="15"/>
        <v>2.92</v>
      </c>
      <c r="W49" s="30">
        <f t="shared" si="18"/>
        <v>0.13022520399786777</v>
      </c>
      <c r="X49" s="29">
        <f t="shared" si="16"/>
        <v>2.9912000000000001</v>
      </c>
      <c r="Y49" s="30">
        <f t="shared" si="19"/>
        <v>0.18179301038863427</v>
      </c>
      <c r="Z49" s="29">
        <f t="shared" si="0"/>
        <v>2.92</v>
      </c>
      <c r="AA49" s="29">
        <f t="shared" si="1"/>
        <v>6.6924999999999998E-2</v>
      </c>
    </row>
    <row r="50" spans="17:27" ht="15" customHeight="1">
      <c r="Q50" s="30"/>
      <c r="R50" s="29">
        <f t="shared" si="13"/>
        <v>2.8458666666666668</v>
      </c>
      <c r="S50" s="30">
        <f t="shared" si="17"/>
        <v>2.2001388817770445E-2</v>
      </c>
      <c r="T50" s="29">
        <f t="shared" si="14"/>
        <v>2.8570666666666669</v>
      </c>
      <c r="U50" s="30">
        <f t="shared" si="17"/>
        <v>3.0967472242094153E-2</v>
      </c>
      <c r="V50" s="29">
        <f t="shared" si="15"/>
        <v>2.9466666666666668</v>
      </c>
      <c r="W50" s="30">
        <f t="shared" si="18"/>
        <v>0.12787885196743995</v>
      </c>
      <c r="X50" s="29">
        <f t="shared" si="16"/>
        <v>2.9941333333333335</v>
      </c>
      <c r="Y50" s="30">
        <f t="shared" si="19"/>
        <v>0.18143698196749364</v>
      </c>
      <c r="Z50" s="29">
        <f t="shared" si="0"/>
        <v>2.9466666666666668</v>
      </c>
      <c r="AA50" s="29">
        <f t="shared" si="1"/>
        <v>6.6924999999999998E-2</v>
      </c>
    </row>
    <row r="51" spans="17:27" ht="15" customHeight="1">
      <c r="Q51" s="30"/>
      <c r="R51" s="29">
        <f t="shared" si="13"/>
        <v>2.9229333333333329</v>
      </c>
      <c r="S51" s="30">
        <f t="shared" si="17"/>
        <v>2.0856497310876746E-2</v>
      </c>
      <c r="T51" s="29">
        <f t="shared" si="14"/>
        <v>2.9285333333333332</v>
      </c>
      <c r="U51" s="30">
        <f t="shared" si="17"/>
        <v>2.94744807102078E-2</v>
      </c>
      <c r="V51" s="29">
        <f t="shared" si="15"/>
        <v>2.9733333333333332</v>
      </c>
      <c r="W51" s="30">
        <f t="shared" si="18"/>
        <v>0.12559534695935443</v>
      </c>
      <c r="X51" s="29">
        <f t="shared" si="16"/>
        <v>2.9970666666666665</v>
      </c>
      <c r="Y51" s="30">
        <f t="shared" si="19"/>
        <v>0.18108199840687544</v>
      </c>
      <c r="Z51" s="29">
        <f t="shared" si="0"/>
        <v>2.9733333333333332</v>
      </c>
      <c r="AA51" s="29">
        <f t="shared" si="1"/>
        <v>6.6924999999999998E-2</v>
      </c>
    </row>
    <row r="52" spans="17:27" ht="15" customHeight="1">
      <c r="Q52" s="43">
        <v>3</v>
      </c>
      <c r="R52" s="29">
        <f>$Q$52</f>
        <v>3</v>
      </c>
      <c r="S52" s="30">
        <f t="shared" si="17"/>
        <v>1.9798700425922081E-2</v>
      </c>
      <c r="T52" s="29">
        <f>$Q$52</f>
        <v>3</v>
      </c>
      <c r="U52" s="30">
        <f t="shared" si="17"/>
        <v>2.8086912168340947E-2</v>
      </c>
      <c r="V52" s="29">
        <f>$Q$52</f>
        <v>3</v>
      </c>
      <c r="W52" s="30">
        <f t="shared" si="18"/>
        <v>0.12337246437415773</v>
      </c>
      <c r="X52" s="29">
        <f>$Q$52</f>
        <v>3</v>
      </c>
      <c r="Y52" s="30">
        <f t="shared" si="19"/>
        <v>0.18072805562221256</v>
      </c>
      <c r="Z52" s="29">
        <f t="shared" si="0"/>
        <v>3</v>
      </c>
      <c r="AA52" s="29">
        <f t="shared" si="1"/>
        <v>6.6924999999999998E-2</v>
      </c>
    </row>
    <row r="53" spans="17:27">
      <c r="Q53" s="44"/>
      <c r="R53" s="29"/>
      <c r="S53" s="30"/>
      <c r="T53" s="29"/>
      <c r="U53" s="30"/>
      <c r="V53" s="29"/>
      <c r="W53" s="30"/>
      <c r="X53" s="29"/>
      <c r="Y53" s="30"/>
      <c r="Z53" s="29"/>
      <c r="AA53" s="30"/>
    </row>
  </sheetData>
  <sheetProtection sheet="1" objects="1" scenarios="1" selectLockedCells="1"/>
  <protectedRanges>
    <protectedRange sqref="B12:B13 E12" name="Intervallo5_1"/>
  </protectedRanges>
  <mergeCells count="1">
    <mergeCell ref="B3:E3"/>
  </mergeCells>
  <dataValidations count="2">
    <dataValidation type="list" allowBlank="1" showInputMessage="1" showErrorMessage="1" sqref="B14">
      <formula1>"A,B,C,D,E"</formula1>
    </dataValidation>
    <dataValidation type="list" allowBlank="1" showInputMessage="1" showErrorMessage="1" sqref="B12">
      <formula1>"T1,T2,T3,T4"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M32"/>
  <sheetViews>
    <sheetView workbookViewId="0">
      <selection activeCell="A2" sqref="A2"/>
    </sheetView>
  </sheetViews>
  <sheetFormatPr defaultColWidth="9" defaultRowHeight="15"/>
  <cols>
    <col min="1" max="16384" width="9" style="14"/>
  </cols>
  <sheetData>
    <row r="1" spans="1:12">
      <c r="A1" s="47" t="s">
        <v>71</v>
      </c>
    </row>
    <row r="3" spans="1:12">
      <c r="A3" s="47" t="s">
        <v>96</v>
      </c>
      <c r="G3" s="3" t="s">
        <v>80</v>
      </c>
    </row>
    <row r="5" spans="1:12">
      <c r="A5" s="9" t="s">
        <v>15</v>
      </c>
      <c r="B5" s="15" t="s">
        <v>87</v>
      </c>
      <c r="C5" s="9" t="s">
        <v>17</v>
      </c>
      <c r="G5" s="48" t="s">
        <v>75</v>
      </c>
      <c r="I5" s="49" t="s">
        <v>76</v>
      </c>
      <c r="K5" s="15" t="s">
        <v>81</v>
      </c>
      <c r="L5" s="15">
        <f>IF(I5="A",4.5,3)</f>
        <v>4.5</v>
      </c>
    </row>
    <row r="6" spans="1:12">
      <c r="A6" s="9"/>
      <c r="B6" s="15"/>
      <c r="G6" s="48" t="s">
        <v>77</v>
      </c>
      <c r="I6" s="49" t="s">
        <v>78</v>
      </c>
      <c r="K6" s="50" t="s">
        <v>84</v>
      </c>
      <c r="L6" s="15">
        <f>IF(I6="si",1.3,1.15)</f>
        <v>1.3</v>
      </c>
    </row>
    <row r="7" spans="1:12">
      <c r="A7" s="9" t="s">
        <v>19</v>
      </c>
      <c r="B7" s="16">
        <f>B8+Masse!H7</f>
        <v>16.399999999999999</v>
      </c>
      <c r="C7" s="17">
        <f>Masse!M7</f>
        <v>3419</v>
      </c>
      <c r="G7" s="48" t="s">
        <v>79</v>
      </c>
      <c r="I7" s="49" t="s">
        <v>78</v>
      </c>
      <c r="K7" s="50" t="s">
        <v>85</v>
      </c>
      <c r="L7" s="15">
        <f>IF(I7="si",1,0.8)</f>
        <v>1</v>
      </c>
    </row>
    <row r="8" spans="1:12">
      <c r="A8" s="9">
        <v>4</v>
      </c>
      <c r="B8" s="16">
        <f>B9+Masse!H8</f>
        <v>13.2</v>
      </c>
      <c r="C8" s="17">
        <f>Masse!M8</f>
        <v>3235</v>
      </c>
    </row>
    <row r="9" spans="1:12">
      <c r="A9" s="9">
        <v>3</v>
      </c>
      <c r="B9" s="16">
        <f>B10+Masse!H9</f>
        <v>10</v>
      </c>
      <c r="C9" s="17">
        <f>Masse!M9</f>
        <v>3235</v>
      </c>
      <c r="G9" s="48" t="s">
        <v>82</v>
      </c>
      <c r="I9" s="51">
        <f>L5*L6*L7</f>
        <v>5.8500000000000005</v>
      </c>
    </row>
    <row r="10" spans="1:12">
      <c r="A10" s="9">
        <v>2</v>
      </c>
      <c r="B10" s="16">
        <f>B11+Masse!H10</f>
        <v>6.8000000000000007</v>
      </c>
      <c r="C10" s="17">
        <f>Masse!M10</f>
        <v>3235</v>
      </c>
    </row>
    <row r="11" spans="1:12">
      <c r="A11" s="9">
        <v>1</v>
      </c>
      <c r="B11" s="16">
        <f>Masse!H11</f>
        <v>3.6</v>
      </c>
      <c r="C11" s="17">
        <f>Masse!M11</f>
        <v>2632</v>
      </c>
      <c r="G11" s="48" t="s">
        <v>83</v>
      </c>
      <c r="H11" s="15" t="s">
        <v>86</v>
      </c>
      <c r="I11" s="49">
        <v>5.85</v>
      </c>
      <c r="J11" s="54" t="str">
        <f>IF(I11&lt;&gt;'Spettri di risposta'!B29,"inserire il valore nel foglio Spettri di risposta","")</f>
        <v/>
      </c>
    </row>
    <row r="12" spans="1:12">
      <c r="A12" s="9" t="s">
        <v>25</v>
      </c>
      <c r="B12" s="15"/>
      <c r="C12" s="46">
        <f>SUM(C6:C11)</f>
        <v>15756</v>
      </c>
    </row>
    <row r="13" spans="1:12">
      <c r="B13" s="15"/>
    </row>
    <row r="15" spans="1:12">
      <c r="A15" s="3" t="s">
        <v>88</v>
      </c>
      <c r="C15" s="14" t="s">
        <v>74</v>
      </c>
    </row>
    <row r="17" spans="1:13">
      <c r="A17" s="9" t="s">
        <v>89</v>
      </c>
      <c r="B17" s="13">
        <f>MAX(B6:B11)</f>
        <v>16.399999999999999</v>
      </c>
      <c r="C17" s="8" t="s">
        <v>32</v>
      </c>
    </row>
    <row r="18" spans="1:13">
      <c r="A18" s="9" t="s">
        <v>33</v>
      </c>
      <c r="B18" s="9">
        <v>7.4999999999999997E-2</v>
      </c>
      <c r="C18" s="8"/>
    </row>
    <row r="19" spans="1:13">
      <c r="A19" s="9" t="s">
        <v>30</v>
      </c>
      <c r="B19" s="52">
        <f>ROUND(B18*B17^0.75,3)</f>
        <v>0.61099999999999999</v>
      </c>
      <c r="C19" s="8" t="s">
        <v>34</v>
      </c>
      <c r="D19" s="54" t="str">
        <f>IF(B19&lt;&gt;'Spettri di risposta'!B23,"inserire il valore nel foglio Spettri di risposta","")</f>
        <v/>
      </c>
    </row>
    <row r="22" spans="1:13">
      <c r="A22" s="53" t="s">
        <v>90</v>
      </c>
      <c r="G22" s="55" t="s">
        <v>97</v>
      </c>
    </row>
    <row r="24" spans="1:13" ht="15.75">
      <c r="A24" s="14" t="s">
        <v>91</v>
      </c>
      <c r="B24" s="24" t="s">
        <v>92</v>
      </c>
      <c r="C24" s="51">
        <f>ROUND('Spettri di risposta'!G29,3)</f>
        <v>0.11899999999999999</v>
      </c>
      <c r="D24" s="14" t="s">
        <v>93</v>
      </c>
      <c r="G24" s="1" t="s">
        <v>15</v>
      </c>
      <c r="H24" s="1" t="s">
        <v>98</v>
      </c>
      <c r="I24" s="1" t="s">
        <v>87</v>
      </c>
      <c r="J24" s="1" t="s">
        <v>99</v>
      </c>
      <c r="K24" s="1" t="s">
        <v>100</v>
      </c>
      <c r="L24" s="1" t="s">
        <v>101</v>
      </c>
      <c r="M24"/>
    </row>
    <row r="25" spans="1:13" ht="15.75">
      <c r="A25" s="14" t="s">
        <v>94</v>
      </c>
      <c r="B25" s="24" t="s">
        <v>95</v>
      </c>
      <c r="C25" s="51">
        <f>ROUND('Spettri di risposta'!G24,3)</f>
        <v>0.215</v>
      </c>
      <c r="D25" s="14" t="s">
        <v>93</v>
      </c>
      <c r="G25" s="1" t="s">
        <v>19</v>
      </c>
      <c r="H25" s="56">
        <f>C7</f>
        <v>3419</v>
      </c>
      <c r="I25" s="57">
        <f>B7</f>
        <v>16.399999999999999</v>
      </c>
      <c r="J25" s="58">
        <f>ROUND(H25*I25,0)</f>
        <v>56072</v>
      </c>
      <c r="K25" s="61">
        <f>J25/$J$30*$H$32</f>
        <v>549.59829638185204</v>
      </c>
      <c r="L25" s="59">
        <f>K25</f>
        <v>549.59829638185204</v>
      </c>
      <c r="M25" t="s">
        <v>8</v>
      </c>
    </row>
    <row r="26" spans="1:13">
      <c r="G26" s="1">
        <v>4</v>
      </c>
      <c r="H26" s="56">
        <f t="shared" ref="H26:H29" si="0">C8</f>
        <v>3235</v>
      </c>
      <c r="I26" s="57">
        <f t="shared" ref="I26:I29" si="1">B8</f>
        <v>13.2</v>
      </c>
      <c r="J26" s="58">
        <f>ROUND(H26*I26,0)</f>
        <v>42702</v>
      </c>
      <c r="K26" s="61">
        <f t="shared" ref="K26:K29" si="2">J26/$J$30*$H$32</f>
        <v>418.5501935386261</v>
      </c>
      <c r="L26" s="59">
        <f>K26+L25</f>
        <v>968.14848992047814</v>
      </c>
      <c r="M26" t="s">
        <v>8</v>
      </c>
    </row>
    <row r="27" spans="1:13">
      <c r="A27" s="14" t="s">
        <v>103</v>
      </c>
      <c r="C27" s="63">
        <f>C25/C24</f>
        <v>1.8067226890756303</v>
      </c>
      <c r="G27" s="1">
        <v>3</v>
      </c>
      <c r="H27" s="56">
        <f t="shared" si="0"/>
        <v>3235</v>
      </c>
      <c r="I27" s="57">
        <f t="shared" si="1"/>
        <v>10</v>
      </c>
      <c r="J27" s="58">
        <f>ROUND(H27*I27,0)</f>
        <v>32350</v>
      </c>
      <c r="K27" s="61">
        <f t="shared" si="2"/>
        <v>317.08347995350471</v>
      </c>
      <c r="L27" s="59">
        <f>K27+L26</f>
        <v>1285.231969873983</v>
      </c>
      <c r="M27" t="s">
        <v>8</v>
      </c>
    </row>
    <row r="28" spans="1:13">
      <c r="G28" s="1">
        <v>2</v>
      </c>
      <c r="H28" s="56">
        <f t="shared" si="0"/>
        <v>3235</v>
      </c>
      <c r="I28" s="57">
        <f t="shared" si="1"/>
        <v>6.8000000000000007</v>
      </c>
      <c r="J28" s="58">
        <f>ROUND(H28*I28,0)</f>
        <v>21998</v>
      </c>
      <c r="K28" s="61">
        <f t="shared" si="2"/>
        <v>215.6167663683832</v>
      </c>
      <c r="L28" s="59">
        <f>K28+L27</f>
        <v>1500.8487362423662</v>
      </c>
      <c r="M28" t="s">
        <v>8</v>
      </c>
    </row>
    <row r="29" spans="1:13">
      <c r="G29" s="1">
        <v>1</v>
      </c>
      <c r="H29" s="56">
        <f t="shared" si="0"/>
        <v>2632</v>
      </c>
      <c r="I29" s="57">
        <f t="shared" si="1"/>
        <v>3.6</v>
      </c>
      <c r="J29" s="60">
        <f>ROUND(H29*I29,0)</f>
        <v>9475</v>
      </c>
      <c r="K29" s="61">
        <f t="shared" si="2"/>
        <v>92.870663757633906</v>
      </c>
      <c r="L29" s="59">
        <f>K29+L28</f>
        <v>1593.7194</v>
      </c>
      <c r="M29" t="s">
        <v>8</v>
      </c>
    </row>
    <row r="30" spans="1:13">
      <c r="G30" s="1" t="s">
        <v>25</v>
      </c>
      <c r="H30" s="58">
        <f>SUM(H25:H29)</f>
        <v>15756</v>
      </c>
      <c r="I30" s="1"/>
      <c r="J30" s="58">
        <f>SUM(J25:J29)</f>
        <v>162597</v>
      </c>
      <c r="K30" s="62">
        <f>SUM(K25:K29)</f>
        <v>1593.7194</v>
      </c>
      <c r="L30" s="1"/>
      <c r="M30"/>
    </row>
    <row r="31" spans="1:13">
      <c r="G31"/>
      <c r="H31"/>
      <c r="I31"/>
      <c r="J31"/>
      <c r="K31"/>
      <c r="L31"/>
      <c r="M31"/>
    </row>
    <row r="32" spans="1:13">
      <c r="G32" s="1" t="s">
        <v>102</v>
      </c>
      <c r="H32" s="59">
        <f>H30*C24*0.85</f>
        <v>1593.7194</v>
      </c>
      <c r="I32"/>
      <c r="J32"/>
      <c r="K32"/>
      <c r="L32"/>
      <c r="M32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N69"/>
  <sheetViews>
    <sheetView workbookViewId="0">
      <selection activeCell="A2" sqref="A2"/>
    </sheetView>
  </sheetViews>
  <sheetFormatPr defaultRowHeight="12.75"/>
  <cols>
    <col min="1" max="1" width="15.7109375" style="65" customWidth="1"/>
    <col min="2" max="9" width="8.7109375" style="65" customWidth="1"/>
    <col min="10" max="256" width="9" style="65"/>
    <col min="257" max="257" width="15.7109375" style="65" customWidth="1"/>
    <col min="258" max="265" width="8.7109375" style="65" customWidth="1"/>
    <col min="266" max="512" width="9" style="65"/>
    <col min="513" max="513" width="15.7109375" style="65" customWidth="1"/>
    <col min="514" max="521" width="8.7109375" style="65" customWidth="1"/>
    <col min="522" max="768" width="9" style="65"/>
    <col min="769" max="769" width="15.7109375" style="65" customWidth="1"/>
    <col min="770" max="777" width="8.7109375" style="65" customWidth="1"/>
    <col min="778" max="1024" width="9" style="65"/>
    <col min="1025" max="1025" width="15.7109375" style="65" customWidth="1"/>
    <col min="1026" max="1033" width="8.7109375" style="65" customWidth="1"/>
    <col min="1034" max="1280" width="9" style="65"/>
    <col min="1281" max="1281" width="15.7109375" style="65" customWidth="1"/>
    <col min="1282" max="1289" width="8.7109375" style="65" customWidth="1"/>
    <col min="1290" max="1536" width="9" style="65"/>
    <col min="1537" max="1537" width="15.7109375" style="65" customWidth="1"/>
    <col min="1538" max="1545" width="8.7109375" style="65" customWidth="1"/>
    <col min="1546" max="1792" width="9" style="65"/>
    <col min="1793" max="1793" width="15.7109375" style="65" customWidth="1"/>
    <col min="1794" max="1801" width="8.7109375" style="65" customWidth="1"/>
    <col min="1802" max="2048" width="9" style="65"/>
    <col min="2049" max="2049" width="15.7109375" style="65" customWidth="1"/>
    <col min="2050" max="2057" width="8.7109375" style="65" customWidth="1"/>
    <col min="2058" max="2304" width="9" style="65"/>
    <col min="2305" max="2305" width="15.7109375" style="65" customWidth="1"/>
    <col min="2306" max="2313" width="8.7109375" style="65" customWidth="1"/>
    <col min="2314" max="2560" width="9" style="65"/>
    <col min="2561" max="2561" width="15.7109375" style="65" customWidth="1"/>
    <col min="2562" max="2569" width="8.7109375" style="65" customWidth="1"/>
    <col min="2570" max="2816" width="9" style="65"/>
    <col min="2817" max="2817" width="15.7109375" style="65" customWidth="1"/>
    <col min="2818" max="2825" width="8.7109375" style="65" customWidth="1"/>
    <col min="2826" max="3072" width="9" style="65"/>
    <col min="3073" max="3073" width="15.7109375" style="65" customWidth="1"/>
    <col min="3074" max="3081" width="8.7109375" style="65" customWidth="1"/>
    <col min="3082" max="3328" width="9" style="65"/>
    <col min="3329" max="3329" width="15.7109375" style="65" customWidth="1"/>
    <col min="3330" max="3337" width="8.7109375" style="65" customWidth="1"/>
    <col min="3338" max="3584" width="9" style="65"/>
    <col min="3585" max="3585" width="15.7109375" style="65" customWidth="1"/>
    <col min="3586" max="3593" width="8.7109375" style="65" customWidth="1"/>
    <col min="3594" max="3840" width="9" style="65"/>
    <col min="3841" max="3841" width="15.7109375" style="65" customWidth="1"/>
    <col min="3842" max="3849" width="8.7109375" style="65" customWidth="1"/>
    <col min="3850" max="4096" width="9" style="65"/>
    <col min="4097" max="4097" width="15.7109375" style="65" customWidth="1"/>
    <col min="4098" max="4105" width="8.7109375" style="65" customWidth="1"/>
    <col min="4106" max="4352" width="9" style="65"/>
    <col min="4353" max="4353" width="15.7109375" style="65" customWidth="1"/>
    <col min="4354" max="4361" width="8.7109375" style="65" customWidth="1"/>
    <col min="4362" max="4608" width="9" style="65"/>
    <col min="4609" max="4609" width="15.7109375" style="65" customWidth="1"/>
    <col min="4610" max="4617" width="8.7109375" style="65" customWidth="1"/>
    <col min="4618" max="4864" width="9" style="65"/>
    <col min="4865" max="4865" width="15.7109375" style="65" customWidth="1"/>
    <col min="4866" max="4873" width="8.7109375" style="65" customWidth="1"/>
    <col min="4874" max="5120" width="9" style="65"/>
    <col min="5121" max="5121" width="15.7109375" style="65" customWidth="1"/>
    <col min="5122" max="5129" width="8.7109375" style="65" customWidth="1"/>
    <col min="5130" max="5376" width="9" style="65"/>
    <col min="5377" max="5377" width="15.7109375" style="65" customWidth="1"/>
    <col min="5378" max="5385" width="8.7109375" style="65" customWidth="1"/>
    <col min="5386" max="5632" width="9" style="65"/>
    <col min="5633" max="5633" width="15.7109375" style="65" customWidth="1"/>
    <col min="5634" max="5641" width="8.7109375" style="65" customWidth="1"/>
    <col min="5642" max="5888" width="9" style="65"/>
    <col min="5889" max="5889" width="15.7109375" style="65" customWidth="1"/>
    <col min="5890" max="5897" width="8.7109375" style="65" customWidth="1"/>
    <col min="5898" max="6144" width="9" style="65"/>
    <col min="6145" max="6145" width="15.7109375" style="65" customWidth="1"/>
    <col min="6146" max="6153" width="8.7109375" style="65" customWidth="1"/>
    <col min="6154" max="6400" width="9" style="65"/>
    <col min="6401" max="6401" width="15.7109375" style="65" customWidth="1"/>
    <col min="6402" max="6409" width="8.7109375" style="65" customWidth="1"/>
    <col min="6410" max="6656" width="9" style="65"/>
    <col min="6657" max="6657" width="15.7109375" style="65" customWidth="1"/>
    <col min="6658" max="6665" width="8.7109375" style="65" customWidth="1"/>
    <col min="6666" max="6912" width="9" style="65"/>
    <col min="6913" max="6913" width="15.7109375" style="65" customWidth="1"/>
    <col min="6914" max="6921" width="8.7109375" style="65" customWidth="1"/>
    <col min="6922" max="7168" width="9" style="65"/>
    <col min="7169" max="7169" width="15.7109375" style="65" customWidth="1"/>
    <col min="7170" max="7177" width="8.7109375" style="65" customWidth="1"/>
    <col min="7178" max="7424" width="9" style="65"/>
    <col min="7425" max="7425" width="15.7109375" style="65" customWidth="1"/>
    <col min="7426" max="7433" width="8.7109375" style="65" customWidth="1"/>
    <col min="7434" max="7680" width="9" style="65"/>
    <col min="7681" max="7681" width="15.7109375" style="65" customWidth="1"/>
    <col min="7682" max="7689" width="8.7109375" style="65" customWidth="1"/>
    <col min="7690" max="7936" width="9" style="65"/>
    <col min="7937" max="7937" width="15.7109375" style="65" customWidth="1"/>
    <col min="7938" max="7945" width="8.7109375" style="65" customWidth="1"/>
    <col min="7946" max="8192" width="9" style="65"/>
    <col min="8193" max="8193" width="15.7109375" style="65" customWidth="1"/>
    <col min="8194" max="8201" width="8.7109375" style="65" customWidth="1"/>
    <col min="8202" max="8448" width="9" style="65"/>
    <col min="8449" max="8449" width="15.7109375" style="65" customWidth="1"/>
    <col min="8450" max="8457" width="8.7109375" style="65" customWidth="1"/>
    <col min="8458" max="8704" width="9" style="65"/>
    <col min="8705" max="8705" width="15.7109375" style="65" customWidth="1"/>
    <col min="8706" max="8713" width="8.7109375" style="65" customWidth="1"/>
    <col min="8714" max="8960" width="9" style="65"/>
    <col min="8961" max="8961" width="15.7109375" style="65" customWidth="1"/>
    <col min="8962" max="8969" width="8.7109375" style="65" customWidth="1"/>
    <col min="8970" max="9216" width="9" style="65"/>
    <col min="9217" max="9217" width="15.7109375" style="65" customWidth="1"/>
    <col min="9218" max="9225" width="8.7109375" style="65" customWidth="1"/>
    <col min="9226" max="9472" width="9" style="65"/>
    <col min="9473" max="9473" width="15.7109375" style="65" customWidth="1"/>
    <col min="9474" max="9481" width="8.7109375" style="65" customWidth="1"/>
    <col min="9482" max="9728" width="9" style="65"/>
    <col min="9729" max="9729" width="15.7109375" style="65" customWidth="1"/>
    <col min="9730" max="9737" width="8.7109375" style="65" customWidth="1"/>
    <col min="9738" max="9984" width="9" style="65"/>
    <col min="9985" max="9985" width="15.7109375" style="65" customWidth="1"/>
    <col min="9986" max="9993" width="8.7109375" style="65" customWidth="1"/>
    <col min="9994" max="10240" width="9" style="65"/>
    <col min="10241" max="10241" width="15.7109375" style="65" customWidth="1"/>
    <col min="10242" max="10249" width="8.7109375" style="65" customWidth="1"/>
    <col min="10250" max="10496" width="9" style="65"/>
    <col min="10497" max="10497" width="15.7109375" style="65" customWidth="1"/>
    <col min="10498" max="10505" width="8.7109375" style="65" customWidth="1"/>
    <col min="10506" max="10752" width="9" style="65"/>
    <col min="10753" max="10753" width="15.7109375" style="65" customWidth="1"/>
    <col min="10754" max="10761" width="8.7109375" style="65" customWidth="1"/>
    <col min="10762" max="11008" width="9" style="65"/>
    <col min="11009" max="11009" width="15.7109375" style="65" customWidth="1"/>
    <col min="11010" max="11017" width="8.7109375" style="65" customWidth="1"/>
    <col min="11018" max="11264" width="9" style="65"/>
    <col min="11265" max="11265" width="15.7109375" style="65" customWidth="1"/>
    <col min="11266" max="11273" width="8.7109375" style="65" customWidth="1"/>
    <col min="11274" max="11520" width="9" style="65"/>
    <col min="11521" max="11521" width="15.7109375" style="65" customWidth="1"/>
    <col min="11522" max="11529" width="8.7109375" style="65" customWidth="1"/>
    <col min="11530" max="11776" width="9" style="65"/>
    <col min="11777" max="11777" width="15.7109375" style="65" customWidth="1"/>
    <col min="11778" max="11785" width="8.7109375" style="65" customWidth="1"/>
    <col min="11786" max="12032" width="9" style="65"/>
    <col min="12033" max="12033" width="15.7109375" style="65" customWidth="1"/>
    <col min="12034" max="12041" width="8.7109375" style="65" customWidth="1"/>
    <col min="12042" max="12288" width="9" style="65"/>
    <col min="12289" max="12289" width="15.7109375" style="65" customWidth="1"/>
    <col min="12290" max="12297" width="8.7109375" style="65" customWidth="1"/>
    <col min="12298" max="12544" width="9" style="65"/>
    <col min="12545" max="12545" width="15.7109375" style="65" customWidth="1"/>
    <col min="12546" max="12553" width="8.7109375" style="65" customWidth="1"/>
    <col min="12554" max="12800" width="9" style="65"/>
    <col min="12801" max="12801" width="15.7109375" style="65" customWidth="1"/>
    <col min="12802" max="12809" width="8.7109375" style="65" customWidth="1"/>
    <col min="12810" max="13056" width="9" style="65"/>
    <col min="13057" max="13057" width="15.7109375" style="65" customWidth="1"/>
    <col min="13058" max="13065" width="8.7109375" style="65" customWidth="1"/>
    <col min="13066" max="13312" width="9" style="65"/>
    <col min="13313" max="13313" width="15.7109375" style="65" customWidth="1"/>
    <col min="13314" max="13321" width="8.7109375" style="65" customWidth="1"/>
    <col min="13322" max="13568" width="9" style="65"/>
    <col min="13569" max="13569" width="15.7109375" style="65" customWidth="1"/>
    <col min="13570" max="13577" width="8.7109375" style="65" customWidth="1"/>
    <col min="13578" max="13824" width="9" style="65"/>
    <col min="13825" max="13825" width="15.7109375" style="65" customWidth="1"/>
    <col min="13826" max="13833" width="8.7109375" style="65" customWidth="1"/>
    <col min="13834" max="14080" width="9" style="65"/>
    <col min="14081" max="14081" width="15.7109375" style="65" customWidth="1"/>
    <col min="14082" max="14089" width="8.7109375" style="65" customWidth="1"/>
    <col min="14090" max="14336" width="9" style="65"/>
    <col min="14337" max="14337" width="15.7109375" style="65" customWidth="1"/>
    <col min="14338" max="14345" width="8.7109375" style="65" customWidth="1"/>
    <col min="14346" max="14592" width="9" style="65"/>
    <col min="14593" max="14593" width="15.7109375" style="65" customWidth="1"/>
    <col min="14594" max="14601" width="8.7109375" style="65" customWidth="1"/>
    <col min="14602" max="14848" width="9" style="65"/>
    <col min="14849" max="14849" width="15.7109375" style="65" customWidth="1"/>
    <col min="14850" max="14857" width="8.7109375" style="65" customWidth="1"/>
    <col min="14858" max="15104" width="9" style="65"/>
    <col min="15105" max="15105" width="15.7109375" style="65" customWidth="1"/>
    <col min="15106" max="15113" width="8.7109375" style="65" customWidth="1"/>
    <col min="15114" max="15360" width="9" style="65"/>
    <col min="15361" max="15361" width="15.7109375" style="65" customWidth="1"/>
    <col min="15362" max="15369" width="8.7109375" style="65" customWidth="1"/>
    <col min="15370" max="15616" width="9" style="65"/>
    <col min="15617" max="15617" width="15.7109375" style="65" customWidth="1"/>
    <col min="15618" max="15625" width="8.7109375" style="65" customWidth="1"/>
    <col min="15626" max="15872" width="9" style="65"/>
    <col min="15873" max="15873" width="15.7109375" style="65" customWidth="1"/>
    <col min="15874" max="15881" width="8.7109375" style="65" customWidth="1"/>
    <col min="15882" max="16128" width="9" style="65"/>
    <col min="16129" max="16129" width="15.7109375" style="65" customWidth="1"/>
    <col min="16130" max="16137" width="8.7109375" style="65" customWidth="1"/>
    <col min="16138" max="16384" width="9" style="65"/>
  </cols>
  <sheetData>
    <row r="1" spans="1:14" ht="15.75">
      <c r="A1" s="64" t="s">
        <v>104</v>
      </c>
    </row>
    <row r="3" spans="1:14">
      <c r="A3" s="66" t="s">
        <v>186</v>
      </c>
      <c r="E3" s="66"/>
      <c r="F3" s="66" t="str">
        <f>"Classe "&amp;Forze!I5</f>
        <v>Classe A</v>
      </c>
      <c r="H3" s="67" t="s">
        <v>105</v>
      </c>
      <c r="I3" s="67" t="str">
        <f>IF(F3="Classe A","alta","media")</f>
        <v>alta</v>
      </c>
    </row>
    <row r="4" spans="1:14">
      <c r="A4" s="65" t="s">
        <v>187</v>
      </c>
    </row>
    <row r="5" spans="1:14">
      <c r="G5" s="65" t="s">
        <v>173</v>
      </c>
    </row>
    <row r="6" spans="1:14" ht="15">
      <c r="A6" s="68" t="s">
        <v>106</v>
      </c>
      <c r="D6" s="66" t="s">
        <v>107</v>
      </c>
      <c r="E6" s="49">
        <v>13</v>
      </c>
      <c r="G6" s="67" t="s">
        <v>108</v>
      </c>
      <c r="H6" s="77">
        <v>4.0999999999999996</v>
      </c>
      <c r="I6" s="66" t="s">
        <v>32</v>
      </c>
    </row>
    <row r="7" spans="1:14">
      <c r="A7" s="66"/>
      <c r="C7" s="66"/>
      <c r="D7" s="69"/>
    </row>
    <row r="8" spans="1:14">
      <c r="A8" s="68" t="s">
        <v>109</v>
      </c>
      <c r="E8" s="66"/>
    </row>
    <row r="9" spans="1:14" ht="15">
      <c r="A9" s="70" t="s">
        <v>15</v>
      </c>
      <c r="B9" s="70" t="s">
        <v>110</v>
      </c>
      <c r="C9" s="70" t="s">
        <v>111</v>
      </c>
      <c r="D9" s="71" t="s">
        <v>112</v>
      </c>
      <c r="E9" s="70" t="s">
        <v>158</v>
      </c>
      <c r="F9" s="70" t="s">
        <v>113</v>
      </c>
      <c r="G9" s="71" t="s">
        <v>114</v>
      </c>
      <c r="H9" s="71" t="s">
        <v>115</v>
      </c>
      <c r="I9" s="72" t="s">
        <v>116</v>
      </c>
      <c r="K9" s="90" t="s">
        <v>176</v>
      </c>
    </row>
    <row r="10" spans="1:14">
      <c r="A10" s="70"/>
      <c r="B10" s="70"/>
      <c r="C10" s="70"/>
      <c r="D10" s="71"/>
      <c r="E10" s="70"/>
      <c r="F10" s="70"/>
      <c r="G10" s="71"/>
      <c r="H10" s="71"/>
      <c r="I10" s="72"/>
      <c r="K10" s="91" t="s">
        <v>174</v>
      </c>
    </row>
    <row r="11" spans="1:14">
      <c r="A11" s="70"/>
      <c r="B11" s="70"/>
      <c r="C11" s="70"/>
      <c r="D11" s="71"/>
      <c r="E11" s="70"/>
      <c r="F11" s="70"/>
      <c r="G11" s="71"/>
      <c r="H11" s="71"/>
      <c r="I11" s="72"/>
      <c r="K11" s="91" t="s">
        <v>175</v>
      </c>
    </row>
    <row r="12" spans="1:14">
      <c r="A12" s="73" t="s">
        <v>19</v>
      </c>
      <c r="B12" s="75">
        <f>Forze!L25</f>
        <v>549.59829638185204</v>
      </c>
      <c r="C12" s="74">
        <f>Masse!H7</f>
        <v>3.2</v>
      </c>
      <c r="D12" s="73">
        <f>E6</f>
        <v>13</v>
      </c>
      <c r="E12" s="75">
        <f>B12/D12</f>
        <v>42.276792029373233</v>
      </c>
      <c r="F12" s="75">
        <f>E12*C12/2</f>
        <v>67.64286724699717</v>
      </c>
      <c r="G12" s="75">
        <f>ROUND(F12/2,1)</f>
        <v>33.799999999999997</v>
      </c>
      <c r="H12" s="75">
        <f>2*G12/$H$6</f>
        <v>16.487804878048781</v>
      </c>
      <c r="I12" s="75">
        <f>H12</f>
        <v>16.487804878048781</v>
      </c>
      <c r="L12" s="75"/>
      <c r="M12" s="73"/>
      <c r="N12" s="75"/>
    </row>
    <row r="13" spans="1:14">
      <c r="A13" s="73">
        <v>4</v>
      </c>
      <c r="B13" s="75">
        <f>Forze!L26</f>
        <v>968.14848992047814</v>
      </c>
      <c r="C13" s="74">
        <f>Masse!H8</f>
        <v>3.2</v>
      </c>
      <c r="D13" s="73">
        <f>D12</f>
        <v>13</v>
      </c>
      <c r="E13" s="75">
        <f>B13/D13</f>
        <v>74.472960763113704</v>
      </c>
      <c r="F13" s="75">
        <f>E13*C13/2</f>
        <v>119.15673722098194</v>
      </c>
      <c r="G13" s="75">
        <f>ROUND((F12+F13)/2,1)</f>
        <v>93.4</v>
      </c>
      <c r="H13" s="75">
        <f>2*G13/$H$6</f>
        <v>45.560975609756106</v>
      </c>
      <c r="I13" s="75">
        <f>I12+H13</f>
        <v>62.048780487804891</v>
      </c>
      <c r="L13" s="75"/>
      <c r="M13" s="73"/>
      <c r="N13" s="75"/>
    </row>
    <row r="14" spans="1:14">
      <c r="A14" s="73">
        <v>3</v>
      </c>
      <c r="B14" s="75">
        <f>Forze!L27</f>
        <v>1285.231969873983</v>
      </c>
      <c r="C14" s="74">
        <f>Masse!H9</f>
        <v>3.2</v>
      </c>
      <c r="D14" s="73">
        <f>D13</f>
        <v>13</v>
      </c>
      <c r="E14" s="75">
        <f>B14/D14</f>
        <v>98.86399768261407</v>
      </c>
      <c r="F14" s="75">
        <f>E14*C14/2</f>
        <v>158.18239629218252</v>
      </c>
      <c r="G14" s="75">
        <f>ROUND((F13+F14)/2,1)</f>
        <v>138.69999999999999</v>
      </c>
      <c r="H14" s="75">
        <f>2*G14/$H$6</f>
        <v>67.658536585365852</v>
      </c>
      <c r="I14" s="75">
        <f>I13+H14</f>
        <v>129.70731707317074</v>
      </c>
      <c r="K14" s="73"/>
      <c r="L14" s="75"/>
      <c r="M14" s="73"/>
      <c r="N14" s="75"/>
    </row>
    <row r="15" spans="1:14">
      <c r="A15" s="73">
        <v>2</v>
      </c>
      <c r="B15" s="75">
        <f>Forze!L28</f>
        <v>1500.8487362423662</v>
      </c>
      <c r="C15" s="74">
        <f>Masse!H10</f>
        <v>3.2</v>
      </c>
      <c r="D15" s="73">
        <f>D14</f>
        <v>13</v>
      </c>
      <c r="E15" s="75">
        <f>B15/D15</f>
        <v>115.44990278787432</v>
      </c>
      <c r="F15" s="75">
        <f>E15*C15/2</f>
        <v>184.71984446059892</v>
      </c>
      <c r="G15" s="75">
        <f>ROUND((F14+F15)/2,1)</f>
        <v>171.5</v>
      </c>
      <c r="H15" s="75">
        <f>2*G15/$H$6</f>
        <v>83.658536585365866</v>
      </c>
      <c r="I15" s="75">
        <f>I14+H15</f>
        <v>213.36585365853659</v>
      </c>
      <c r="K15" s="73"/>
      <c r="L15" s="75"/>
      <c r="M15" s="73"/>
      <c r="N15" s="75"/>
    </row>
    <row r="16" spans="1:14">
      <c r="A16" s="73" t="s">
        <v>117</v>
      </c>
      <c r="B16" s="75">
        <f>Forze!L29</f>
        <v>1593.7194</v>
      </c>
      <c r="C16" s="74">
        <f>Masse!H11</f>
        <v>3.6</v>
      </c>
      <c r="D16" s="73">
        <f>D15</f>
        <v>13</v>
      </c>
      <c r="E16" s="75">
        <f>B16/D16</f>
        <v>122.5938</v>
      </c>
      <c r="F16" s="75">
        <f>E16*C16*0.4</f>
        <v>176.53507200000001</v>
      </c>
      <c r="G16" s="75">
        <f>ROUND((F15+F16)/2,1)</f>
        <v>180.6</v>
      </c>
      <c r="H16" s="75">
        <f>2*G16/$H$6</f>
        <v>88.097560975609767</v>
      </c>
      <c r="I16" s="75">
        <f>I15+H16</f>
        <v>301.46341463414637</v>
      </c>
      <c r="K16" s="73"/>
      <c r="L16" s="75"/>
      <c r="M16" s="73"/>
      <c r="N16" s="75"/>
    </row>
    <row r="17" spans="1:14">
      <c r="A17" s="73" t="s">
        <v>118</v>
      </c>
      <c r="B17" s="73"/>
      <c r="C17" s="73"/>
      <c r="D17" s="75"/>
      <c r="F17" s="75">
        <f>E16*C16*0.6</f>
        <v>264.80260800000002</v>
      </c>
      <c r="I17" s="75"/>
      <c r="J17" s="76"/>
      <c r="L17" s="75"/>
      <c r="M17" s="73"/>
      <c r="N17" s="75"/>
    </row>
    <row r="18" spans="1:14">
      <c r="A18" s="73"/>
      <c r="B18" s="73"/>
      <c r="C18" s="73"/>
      <c r="D18" s="75"/>
      <c r="F18" s="75"/>
      <c r="I18" s="75"/>
      <c r="J18" s="76"/>
      <c r="L18" s="75"/>
      <c r="M18" s="73"/>
      <c r="N18" s="75"/>
    </row>
    <row r="19" spans="1:14">
      <c r="A19" s="68" t="s">
        <v>123</v>
      </c>
      <c r="B19" s="73"/>
      <c r="C19" s="73"/>
      <c r="D19" s="75"/>
      <c r="F19" s="75"/>
      <c r="I19" s="75"/>
      <c r="J19" s="76"/>
      <c r="K19" s="68" t="s">
        <v>120</v>
      </c>
      <c r="M19" s="73"/>
      <c r="N19" s="75"/>
    </row>
    <row r="20" spans="1:14" ht="15">
      <c r="A20" s="70" t="s">
        <v>15</v>
      </c>
      <c r="B20" s="73"/>
      <c r="C20" s="73"/>
      <c r="D20" s="75"/>
      <c r="E20" s="70" t="s">
        <v>158</v>
      </c>
      <c r="F20" s="70" t="s">
        <v>113</v>
      </c>
      <c r="G20" s="71" t="s">
        <v>114</v>
      </c>
      <c r="H20" s="71" t="s">
        <v>115</v>
      </c>
      <c r="I20" s="72" t="s">
        <v>116</v>
      </c>
      <c r="J20" s="76"/>
      <c r="K20" s="71" t="s">
        <v>121</v>
      </c>
      <c r="L20" s="70" t="s">
        <v>113</v>
      </c>
      <c r="M20" s="73"/>
      <c r="N20" s="75"/>
    </row>
    <row r="21" spans="1:14">
      <c r="A21" s="70"/>
      <c r="B21" s="73"/>
      <c r="C21" s="73"/>
      <c r="D21" s="75"/>
      <c r="E21" s="70"/>
      <c r="F21" s="70"/>
      <c r="G21" s="71"/>
      <c r="H21" s="71"/>
      <c r="I21" s="72"/>
      <c r="J21" s="76"/>
      <c r="K21" s="71"/>
      <c r="L21" s="70"/>
      <c r="M21" s="73"/>
      <c r="N21" s="75"/>
    </row>
    <row r="22" spans="1:14">
      <c r="A22" s="70"/>
      <c r="B22" s="73"/>
      <c r="C22" s="73"/>
      <c r="D22" s="75"/>
      <c r="E22" s="70"/>
      <c r="F22" s="70"/>
      <c r="G22" s="71"/>
      <c r="H22" s="71"/>
      <c r="I22" s="72"/>
      <c r="J22" s="76"/>
      <c r="K22" s="71"/>
      <c r="L22" s="70"/>
      <c r="M22" s="73"/>
      <c r="N22" s="75"/>
    </row>
    <row r="23" spans="1:14">
      <c r="A23" s="73" t="s">
        <v>19</v>
      </c>
      <c r="B23" s="73"/>
      <c r="C23" s="73"/>
      <c r="D23" s="75"/>
      <c r="E23" s="75">
        <f>E12</f>
        <v>42.276792029373233</v>
      </c>
      <c r="F23" s="75">
        <f t="shared" ref="F23:G24" si="0">F12*0.9</f>
        <v>60.878580522297455</v>
      </c>
      <c r="G23" s="75">
        <f t="shared" si="0"/>
        <v>30.419999999999998</v>
      </c>
      <c r="H23" s="75">
        <f>H12</f>
        <v>16.487804878048781</v>
      </c>
      <c r="I23" s="75">
        <f>I12</f>
        <v>16.487804878048781</v>
      </c>
      <c r="J23" s="76"/>
      <c r="K23" s="73">
        <f>IF($F$3="Classe B",1.3,1.5)</f>
        <v>1.5</v>
      </c>
      <c r="L23" s="75">
        <f t="shared" ref="L23:L28" si="1">F23*K23</f>
        <v>91.317870783446182</v>
      </c>
      <c r="M23" s="73"/>
      <c r="N23" s="75"/>
    </row>
    <row r="24" spans="1:14">
      <c r="A24" s="73">
        <v>4</v>
      </c>
      <c r="B24" s="73"/>
      <c r="C24" s="73"/>
      <c r="D24" s="75"/>
      <c r="E24" s="75">
        <f>E13</f>
        <v>74.472960763113704</v>
      </c>
      <c r="F24" s="75">
        <f t="shared" si="0"/>
        <v>107.24106349888375</v>
      </c>
      <c r="G24" s="75">
        <f t="shared" si="0"/>
        <v>84.06</v>
      </c>
      <c r="H24" s="75">
        <f>H13</f>
        <v>45.560975609756106</v>
      </c>
      <c r="I24" s="75">
        <f>I13</f>
        <v>62.048780487804891</v>
      </c>
      <c r="J24" s="76"/>
      <c r="K24" s="73">
        <f>IF($F$3="Classe B",1.3,1.5)</f>
        <v>1.5</v>
      </c>
      <c r="L24" s="75">
        <f t="shared" si="1"/>
        <v>160.86159524832561</v>
      </c>
      <c r="M24" s="73"/>
      <c r="N24" s="75"/>
    </row>
    <row r="25" spans="1:14">
      <c r="A25" s="73">
        <v>3</v>
      </c>
      <c r="B25" s="73"/>
      <c r="C25" s="73"/>
      <c r="D25" s="75"/>
      <c r="E25" s="75">
        <f t="shared" ref="E25:E27" si="2">E14</f>
        <v>98.86399768261407</v>
      </c>
      <c r="F25" s="75">
        <f t="shared" ref="F25:G25" si="3">F14*0.9</f>
        <v>142.36415666296426</v>
      </c>
      <c r="G25" s="75">
        <f t="shared" si="3"/>
        <v>124.83</v>
      </c>
      <c r="H25" s="75">
        <f t="shared" ref="H25:I25" si="4">H14</f>
        <v>67.658536585365852</v>
      </c>
      <c r="I25" s="75">
        <f t="shared" si="4"/>
        <v>129.70731707317074</v>
      </c>
      <c r="J25" s="76"/>
      <c r="K25" s="73">
        <f>IF($F$3="Classe B",1.3,1.5)</f>
        <v>1.5</v>
      </c>
      <c r="L25" s="75">
        <f t="shared" si="1"/>
        <v>213.54623499444639</v>
      </c>
      <c r="M25" s="73"/>
      <c r="N25" s="75"/>
    </row>
    <row r="26" spans="1:14">
      <c r="A26" s="73">
        <v>2</v>
      </c>
      <c r="B26" s="73"/>
      <c r="C26" s="73"/>
      <c r="D26" s="75"/>
      <c r="E26" s="75">
        <f t="shared" si="2"/>
        <v>115.44990278787432</v>
      </c>
      <c r="F26" s="75">
        <f t="shared" ref="F26:G26" si="5">F15*0.9</f>
        <v>166.24786001453904</v>
      </c>
      <c r="G26" s="75">
        <f t="shared" si="5"/>
        <v>154.35</v>
      </c>
      <c r="H26" s="75">
        <f t="shared" ref="H26:I26" si="6">H15</f>
        <v>83.658536585365866</v>
      </c>
      <c r="I26" s="75">
        <f t="shared" si="6"/>
        <v>213.36585365853659</v>
      </c>
      <c r="J26" s="76"/>
      <c r="K26" s="73">
        <f>IF($F$3="Classe B",1.3,1.5)</f>
        <v>1.5</v>
      </c>
      <c r="L26" s="75">
        <f t="shared" si="1"/>
        <v>249.37179002180858</v>
      </c>
      <c r="M26" s="73"/>
      <c r="N26" s="75"/>
    </row>
    <row r="27" spans="1:14">
      <c r="A27" s="73" t="s">
        <v>117</v>
      </c>
      <c r="B27" s="73"/>
      <c r="C27" s="73"/>
      <c r="D27" s="75"/>
      <c r="E27" s="75">
        <f t="shared" si="2"/>
        <v>122.5938</v>
      </c>
      <c r="F27" s="75">
        <f t="shared" ref="F27:G27" si="7">F16*0.9</f>
        <v>158.88156480000001</v>
      </c>
      <c r="G27" s="75">
        <f t="shared" si="7"/>
        <v>162.54</v>
      </c>
      <c r="H27" s="75">
        <f t="shared" ref="H27:I27" si="8">H16</f>
        <v>88.097560975609767</v>
      </c>
      <c r="I27" s="75">
        <f t="shared" si="8"/>
        <v>301.46341463414637</v>
      </c>
      <c r="J27" s="76"/>
      <c r="K27" s="73">
        <f>IF($F$3="Classe B",1.3,1.5)</f>
        <v>1.5</v>
      </c>
      <c r="L27" s="75">
        <f t="shared" si="1"/>
        <v>238.32234720000002</v>
      </c>
      <c r="M27" s="73"/>
      <c r="N27" s="75"/>
    </row>
    <row r="28" spans="1:14">
      <c r="A28" s="73" t="s">
        <v>118</v>
      </c>
      <c r="B28" s="73"/>
      <c r="C28" s="73"/>
      <c r="D28" s="75"/>
      <c r="F28" s="75">
        <f>F17</f>
        <v>264.80260800000002</v>
      </c>
      <c r="I28" s="75"/>
      <c r="J28" s="76"/>
      <c r="K28" s="73">
        <v>1</v>
      </c>
      <c r="L28" s="75">
        <f t="shared" si="1"/>
        <v>264.80260800000002</v>
      </c>
      <c r="M28" s="73"/>
      <c r="N28" s="75"/>
    </row>
    <row r="29" spans="1:14">
      <c r="A29" s="73"/>
      <c r="B29" s="73"/>
      <c r="C29" s="73"/>
      <c r="D29" s="75"/>
      <c r="E29" s="75"/>
      <c r="G29" s="74"/>
      <c r="I29" s="75"/>
    </row>
    <row r="30" spans="1:14">
      <c r="A30" s="68" t="s">
        <v>119</v>
      </c>
      <c r="B30" s="73"/>
      <c r="C30" s="73"/>
      <c r="D30" s="75"/>
      <c r="E30" s="75"/>
      <c r="G30" s="74"/>
      <c r="I30" s="75"/>
      <c r="K30" s="68"/>
    </row>
    <row r="31" spans="1:14">
      <c r="A31" s="70"/>
      <c r="C31" s="73"/>
      <c r="D31" s="67"/>
      <c r="E31" s="92" t="s">
        <v>177</v>
      </c>
      <c r="F31" s="70"/>
      <c r="G31" s="71"/>
      <c r="H31" s="71"/>
      <c r="I31" s="72"/>
      <c r="K31" s="71"/>
      <c r="L31" s="70"/>
    </row>
    <row r="32" spans="1:14">
      <c r="A32" s="73"/>
      <c r="D32" s="74"/>
      <c r="E32" s="93" t="s">
        <v>179</v>
      </c>
      <c r="F32" s="75"/>
      <c r="G32" s="75"/>
      <c r="H32" s="75"/>
      <c r="I32" s="75"/>
      <c r="K32" s="73"/>
      <c r="L32" s="75"/>
    </row>
    <row r="33" spans="1:14">
      <c r="A33" s="73"/>
      <c r="D33" s="74"/>
      <c r="E33" s="93" t="s">
        <v>178</v>
      </c>
      <c r="F33" s="75"/>
      <c r="G33" s="75"/>
      <c r="H33" s="75"/>
      <c r="I33" s="75"/>
      <c r="K33" s="73"/>
      <c r="L33" s="75"/>
    </row>
    <row r="34" spans="1:14">
      <c r="A34" s="73"/>
      <c r="D34" s="74"/>
      <c r="F34" s="75"/>
      <c r="I34" s="75"/>
      <c r="K34" s="73"/>
      <c r="L34" s="75"/>
    </row>
    <row r="35" spans="1:14">
      <c r="A35" s="73"/>
      <c r="D35" s="74"/>
      <c r="F35" s="75"/>
      <c r="I35" s="75"/>
      <c r="K35" s="73"/>
      <c r="L35" s="75"/>
    </row>
    <row r="36" spans="1:14">
      <c r="G36" s="65" t="s">
        <v>173</v>
      </c>
    </row>
    <row r="37" spans="1:14" ht="15">
      <c r="A37" s="68" t="s">
        <v>122</v>
      </c>
      <c r="D37" s="66" t="s">
        <v>107</v>
      </c>
      <c r="E37" s="49">
        <v>14</v>
      </c>
      <c r="G37" s="67" t="s">
        <v>108</v>
      </c>
      <c r="H37" s="77">
        <v>4.0999999999999996</v>
      </c>
      <c r="I37" s="66" t="s">
        <v>32</v>
      </c>
    </row>
    <row r="38" spans="1:14">
      <c r="A38" s="66"/>
      <c r="C38" s="66"/>
      <c r="D38" s="69"/>
    </row>
    <row r="39" spans="1:14">
      <c r="A39" s="68" t="s">
        <v>109</v>
      </c>
      <c r="E39" s="66"/>
    </row>
    <row r="40" spans="1:14" ht="15">
      <c r="A40" s="70" t="s">
        <v>15</v>
      </c>
      <c r="B40" s="70" t="s">
        <v>110</v>
      </c>
      <c r="C40" s="70" t="s">
        <v>111</v>
      </c>
      <c r="D40" s="71" t="s">
        <v>112</v>
      </c>
      <c r="E40" s="70" t="s">
        <v>158</v>
      </c>
      <c r="F40" s="70" t="s">
        <v>113</v>
      </c>
      <c r="G40" s="71" t="s">
        <v>114</v>
      </c>
      <c r="H40" s="71" t="s">
        <v>115</v>
      </c>
      <c r="I40" s="72" t="s">
        <v>116</v>
      </c>
      <c r="K40" s="90" t="s">
        <v>176</v>
      </c>
    </row>
    <row r="41" spans="1:14">
      <c r="A41" s="70"/>
      <c r="B41" s="70"/>
      <c r="C41" s="70"/>
      <c r="D41" s="71"/>
      <c r="E41" s="70"/>
      <c r="F41" s="70"/>
      <c r="G41" s="71"/>
      <c r="H41" s="71"/>
      <c r="I41" s="72"/>
      <c r="K41" s="90"/>
    </row>
    <row r="42" spans="1:14">
      <c r="A42" s="70"/>
      <c r="B42" s="70"/>
      <c r="C42" s="70"/>
      <c r="D42" s="71"/>
      <c r="E42" s="70"/>
      <c r="F42" s="70"/>
      <c r="G42" s="71"/>
      <c r="H42" s="71"/>
      <c r="I42" s="72"/>
      <c r="K42" s="90"/>
    </row>
    <row r="43" spans="1:14">
      <c r="A43" s="73" t="s">
        <v>19</v>
      </c>
      <c r="B43" s="75">
        <f t="shared" ref="B43:C47" si="9">B12</f>
        <v>549.59829638185204</v>
      </c>
      <c r="C43" s="74">
        <f t="shared" si="9"/>
        <v>3.2</v>
      </c>
      <c r="D43" s="73">
        <f>E37</f>
        <v>14</v>
      </c>
      <c r="E43" s="75">
        <f>B43/D43</f>
        <v>39.25702117013229</v>
      </c>
      <c r="F43" s="75">
        <f>E43*C43/2</f>
        <v>62.811233872211666</v>
      </c>
      <c r="G43" s="75">
        <f>ROUND(F43/2,1)</f>
        <v>31.4</v>
      </c>
      <c r="H43" s="75">
        <f>2*G43/$H$6</f>
        <v>15.317073170731708</v>
      </c>
      <c r="I43" s="75">
        <f>H43</f>
        <v>15.317073170731708</v>
      </c>
      <c r="K43" s="91" t="s">
        <v>174</v>
      </c>
      <c r="L43" s="75"/>
      <c r="M43" s="73"/>
      <c r="N43" s="75"/>
    </row>
    <row r="44" spans="1:14">
      <c r="A44" s="73">
        <v>4</v>
      </c>
      <c r="B44" s="75">
        <f t="shared" si="9"/>
        <v>968.14848992047814</v>
      </c>
      <c r="C44" s="74">
        <f t="shared" si="9"/>
        <v>3.2</v>
      </c>
      <c r="D44" s="73">
        <f>D43</f>
        <v>14</v>
      </c>
      <c r="E44" s="75">
        <f>B44/D44</f>
        <v>69.153463565748439</v>
      </c>
      <c r="F44" s="75">
        <f>E44*C44/2</f>
        <v>110.6455417051975</v>
      </c>
      <c r="G44" s="75">
        <f>ROUND((F43+F44)/2,1)</f>
        <v>86.7</v>
      </c>
      <c r="H44" s="75">
        <f>2*G44/$H$6</f>
        <v>42.292682926829272</v>
      </c>
      <c r="I44" s="75">
        <f>I43+H44</f>
        <v>57.609756097560982</v>
      </c>
      <c r="K44" s="91" t="s">
        <v>175</v>
      </c>
      <c r="L44" s="75"/>
      <c r="M44" s="73"/>
      <c r="N44" s="75"/>
    </row>
    <row r="45" spans="1:14">
      <c r="A45" s="73">
        <v>3</v>
      </c>
      <c r="B45" s="75">
        <f t="shared" si="9"/>
        <v>1285.231969873983</v>
      </c>
      <c r="C45" s="74">
        <f t="shared" si="9"/>
        <v>3.2</v>
      </c>
      <c r="D45" s="73">
        <f>D44</f>
        <v>14</v>
      </c>
      <c r="E45" s="75">
        <f>B45/D45</f>
        <v>91.802283562427348</v>
      </c>
      <c r="F45" s="75">
        <f>E45*C45/2</f>
        <v>146.88365369988375</v>
      </c>
      <c r="G45" s="75">
        <f>ROUND((F44+F45)/2,1)</f>
        <v>128.80000000000001</v>
      </c>
      <c r="H45" s="75">
        <f>2*G45/$H$6</f>
        <v>62.82926829268294</v>
      </c>
      <c r="I45" s="75">
        <f>I44+H45</f>
        <v>120.43902439024393</v>
      </c>
      <c r="K45" s="73"/>
      <c r="L45" s="75"/>
      <c r="M45" s="73"/>
      <c r="N45" s="75"/>
    </row>
    <row r="46" spans="1:14">
      <c r="A46" s="73">
        <v>2</v>
      </c>
      <c r="B46" s="75">
        <f t="shared" si="9"/>
        <v>1500.8487362423662</v>
      </c>
      <c r="C46" s="74">
        <f t="shared" si="9"/>
        <v>3.2</v>
      </c>
      <c r="D46" s="73">
        <f>D45</f>
        <v>14</v>
      </c>
      <c r="E46" s="75">
        <f>B46/D46</f>
        <v>107.20348116016901</v>
      </c>
      <c r="F46" s="75">
        <f>E46*C46/2</f>
        <v>171.52556985627041</v>
      </c>
      <c r="G46" s="75">
        <f>ROUND((F45+F46)/2,1)</f>
        <v>159.19999999999999</v>
      </c>
      <c r="H46" s="75">
        <f>2*G46/$H$6</f>
        <v>77.658536585365852</v>
      </c>
      <c r="I46" s="75">
        <f>I45+H46</f>
        <v>198.09756097560978</v>
      </c>
      <c r="K46" s="73"/>
      <c r="L46" s="75"/>
      <c r="M46" s="73"/>
      <c r="N46" s="75"/>
    </row>
    <row r="47" spans="1:14">
      <c r="A47" s="73" t="s">
        <v>117</v>
      </c>
      <c r="B47" s="75">
        <f t="shared" si="9"/>
        <v>1593.7194</v>
      </c>
      <c r="C47" s="74">
        <f t="shared" si="9"/>
        <v>3.6</v>
      </c>
      <c r="D47" s="73">
        <f>D46</f>
        <v>14</v>
      </c>
      <c r="E47" s="75">
        <f>B47/D47</f>
        <v>113.83709999999999</v>
      </c>
      <c r="F47" s="75">
        <f>E47*C47*0.4</f>
        <v>163.92542400000002</v>
      </c>
      <c r="G47" s="75">
        <f>ROUND((F46+F47)/2,1)</f>
        <v>167.7</v>
      </c>
      <c r="H47" s="75">
        <f>2*G47/$H$6</f>
        <v>81.804878048780495</v>
      </c>
      <c r="I47" s="75">
        <f>I46+H47</f>
        <v>279.90243902439028</v>
      </c>
      <c r="K47" s="73"/>
      <c r="L47" s="75"/>
      <c r="M47" s="73"/>
      <c r="N47" s="75"/>
    </row>
    <row r="48" spans="1:14">
      <c r="A48" s="73" t="s">
        <v>118</v>
      </c>
      <c r="B48" s="73"/>
      <c r="C48" s="73"/>
      <c r="D48" s="75"/>
      <c r="F48" s="75">
        <f>E47*C47*0.6</f>
        <v>245.88813599999997</v>
      </c>
      <c r="I48" s="75"/>
      <c r="J48" s="76"/>
      <c r="L48" s="75"/>
      <c r="M48" s="73"/>
      <c r="N48" s="75"/>
    </row>
    <row r="49" spans="1:14">
      <c r="A49" s="73"/>
      <c r="B49" s="73"/>
      <c r="C49" s="73"/>
      <c r="D49" s="75"/>
      <c r="F49" s="75"/>
      <c r="I49" s="75"/>
      <c r="J49" s="76"/>
      <c r="L49" s="75"/>
      <c r="M49" s="73"/>
      <c r="N49" s="75"/>
    </row>
    <row r="50" spans="1:14">
      <c r="A50" s="68" t="s">
        <v>123</v>
      </c>
      <c r="B50" s="73"/>
      <c r="C50" s="73"/>
      <c r="D50" s="75"/>
      <c r="F50" s="75"/>
      <c r="I50" s="75"/>
      <c r="J50" s="76"/>
      <c r="K50" s="68" t="s">
        <v>120</v>
      </c>
      <c r="M50" s="73"/>
      <c r="N50" s="75"/>
    </row>
    <row r="51" spans="1:14" ht="15">
      <c r="A51" s="70" t="s">
        <v>15</v>
      </c>
      <c r="B51" s="73"/>
      <c r="C51" s="73"/>
      <c r="D51" s="75"/>
      <c r="E51" s="70" t="s">
        <v>158</v>
      </c>
      <c r="F51" s="70" t="s">
        <v>113</v>
      </c>
      <c r="G51" s="71" t="s">
        <v>114</v>
      </c>
      <c r="H51" s="71" t="s">
        <v>115</v>
      </c>
      <c r="I51" s="72" t="s">
        <v>116</v>
      </c>
      <c r="J51" s="76"/>
      <c r="K51" s="71" t="s">
        <v>121</v>
      </c>
      <c r="L51" s="70" t="s">
        <v>113</v>
      </c>
      <c r="M51" s="73"/>
      <c r="N51" s="75"/>
    </row>
    <row r="52" spans="1:14">
      <c r="A52" s="70"/>
      <c r="B52" s="73"/>
      <c r="C52" s="73"/>
      <c r="D52" s="75"/>
      <c r="E52" s="70"/>
      <c r="F52" s="70"/>
      <c r="G52" s="71"/>
      <c r="H52" s="71"/>
      <c r="I52" s="72"/>
      <c r="J52" s="76"/>
      <c r="K52" s="71"/>
      <c r="L52" s="70"/>
      <c r="M52" s="73"/>
      <c r="N52" s="75"/>
    </row>
    <row r="53" spans="1:14">
      <c r="A53" s="70"/>
      <c r="B53" s="73"/>
      <c r="C53" s="73"/>
      <c r="D53" s="75"/>
      <c r="E53" s="70"/>
      <c r="F53" s="70"/>
      <c r="G53" s="71"/>
      <c r="H53" s="71"/>
      <c r="I53" s="72"/>
      <c r="J53" s="76"/>
      <c r="K53" s="71"/>
      <c r="L53" s="70"/>
      <c r="M53" s="73"/>
      <c r="N53" s="75"/>
    </row>
    <row r="54" spans="1:14">
      <c r="A54" s="73" t="s">
        <v>19</v>
      </c>
      <c r="B54" s="73"/>
      <c r="C54" s="73"/>
      <c r="D54" s="75"/>
      <c r="E54" s="75">
        <f>E43</f>
        <v>39.25702117013229</v>
      </c>
      <c r="F54" s="75">
        <f t="shared" ref="F54:G54" si="10">F43*0.9</f>
        <v>56.530110484990502</v>
      </c>
      <c r="G54" s="75">
        <f t="shared" si="10"/>
        <v>28.259999999999998</v>
      </c>
      <c r="H54" s="75">
        <f>H43</f>
        <v>15.317073170731708</v>
      </c>
      <c r="I54" s="75">
        <f>I43</f>
        <v>15.317073170731708</v>
      </c>
      <c r="J54" s="76"/>
      <c r="K54" s="73">
        <f>IF($F$3="Classe B",1.3,1.5)</f>
        <v>1.5</v>
      </c>
      <c r="L54" s="75">
        <f t="shared" ref="L54:L59" si="11">F54*K54</f>
        <v>84.795165727485752</v>
      </c>
      <c r="M54" s="73"/>
      <c r="N54" s="75"/>
    </row>
    <row r="55" spans="1:14">
      <c r="A55" s="73">
        <v>4</v>
      </c>
      <c r="B55" s="73"/>
      <c r="C55" s="73"/>
      <c r="D55" s="75"/>
      <c r="E55" s="75">
        <f>E44</f>
        <v>69.153463565748439</v>
      </c>
      <c r="F55" s="75">
        <f t="shared" ref="F55:G55" si="12">F44*0.9</f>
        <v>99.58098753467776</v>
      </c>
      <c r="G55" s="75">
        <f t="shared" si="12"/>
        <v>78.03</v>
      </c>
      <c r="H55" s="75">
        <f>H44</f>
        <v>42.292682926829272</v>
      </c>
      <c r="I55" s="75">
        <f>I44</f>
        <v>57.609756097560982</v>
      </c>
      <c r="J55" s="76"/>
      <c r="K55" s="73">
        <f>IF($F$3="Classe B",1.3,1.5)</f>
        <v>1.5</v>
      </c>
      <c r="L55" s="75">
        <f t="shared" si="11"/>
        <v>149.37148130201663</v>
      </c>
      <c r="M55" s="73"/>
      <c r="N55" s="75"/>
    </row>
    <row r="56" spans="1:14">
      <c r="A56" s="73">
        <v>3</v>
      </c>
      <c r="B56" s="73"/>
      <c r="C56" s="73"/>
      <c r="D56" s="75"/>
      <c r="E56" s="75">
        <f t="shared" ref="E56:E58" si="13">E45</f>
        <v>91.802283562427348</v>
      </c>
      <c r="F56" s="75">
        <f t="shared" ref="F56:G56" si="14">F45*0.9</f>
        <v>132.19528832989539</v>
      </c>
      <c r="G56" s="75">
        <f t="shared" si="14"/>
        <v>115.92000000000002</v>
      </c>
      <c r="H56" s="75">
        <f t="shared" ref="H56:I56" si="15">H45</f>
        <v>62.82926829268294</v>
      </c>
      <c r="I56" s="75">
        <f t="shared" si="15"/>
        <v>120.43902439024393</v>
      </c>
      <c r="J56" s="76"/>
      <c r="K56" s="73">
        <f>IF($F$3="Classe B",1.3,1.5)</f>
        <v>1.5</v>
      </c>
      <c r="L56" s="75">
        <f t="shared" si="11"/>
        <v>198.29293249484309</v>
      </c>
      <c r="M56" s="73"/>
      <c r="N56" s="75"/>
    </row>
    <row r="57" spans="1:14">
      <c r="A57" s="73">
        <v>2</v>
      </c>
      <c r="B57" s="73"/>
      <c r="C57" s="73"/>
      <c r="D57" s="75"/>
      <c r="E57" s="75">
        <f t="shared" si="13"/>
        <v>107.20348116016901</v>
      </c>
      <c r="F57" s="75">
        <f t="shared" ref="F57:G57" si="16">F46*0.9</f>
        <v>154.37301287064338</v>
      </c>
      <c r="G57" s="75">
        <f t="shared" si="16"/>
        <v>143.28</v>
      </c>
      <c r="H57" s="75">
        <f t="shared" ref="H57:I57" si="17">H46</f>
        <v>77.658536585365852</v>
      </c>
      <c r="I57" s="75">
        <f t="shared" si="17"/>
        <v>198.09756097560978</v>
      </c>
      <c r="J57" s="76"/>
      <c r="K57" s="73">
        <f>IF($F$3="Classe B",1.3,1.5)</f>
        <v>1.5</v>
      </c>
      <c r="L57" s="75">
        <f t="shared" si="11"/>
        <v>231.55951930596507</v>
      </c>
      <c r="M57" s="73"/>
      <c r="N57" s="75"/>
    </row>
    <row r="58" spans="1:14">
      <c r="A58" s="73" t="s">
        <v>117</v>
      </c>
      <c r="B58" s="73"/>
      <c r="C58" s="73"/>
      <c r="D58" s="75"/>
      <c r="E58" s="75">
        <f t="shared" si="13"/>
        <v>113.83709999999999</v>
      </c>
      <c r="F58" s="75">
        <f t="shared" ref="F58:G58" si="18">F47*0.9</f>
        <v>147.53288160000002</v>
      </c>
      <c r="G58" s="75">
        <f t="shared" si="18"/>
        <v>150.93</v>
      </c>
      <c r="H58" s="75">
        <f t="shared" ref="H58:I58" si="19">H47</f>
        <v>81.804878048780495</v>
      </c>
      <c r="I58" s="75">
        <f t="shared" si="19"/>
        <v>279.90243902439028</v>
      </c>
      <c r="J58" s="76"/>
      <c r="K58" s="73">
        <f>IF($F$3="Classe B",1.3,1.5)</f>
        <v>1.5</v>
      </c>
      <c r="L58" s="75">
        <f t="shared" si="11"/>
        <v>221.29932240000005</v>
      </c>
      <c r="M58" s="73"/>
      <c r="N58" s="75"/>
    </row>
    <row r="59" spans="1:14">
      <c r="A59" s="73" t="s">
        <v>118</v>
      </c>
      <c r="B59" s="73"/>
      <c r="C59" s="73"/>
      <c r="D59" s="75"/>
      <c r="F59" s="75">
        <f>F48</f>
        <v>245.88813599999997</v>
      </c>
      <c r="I59" s="75"/>
      <c r="J59" s="76"/>
      <c r="K59" s="73">
        <v>1</v>
      </c>
      <c r="L59" s="75">
        <f t="shared" si="11"/>
        <v>245.88813599999997</v>
      </c>
      <c r="M59" s="73"/>
      <c r="N59" s="75"/>
    </row>
    <row r="60" spans="1:14">
      <c r="A60" s="73"/>
      <c r="B60" s="73"/>
      <c r="C60" s="73"/>
      <c r="D60" s="75"/>
      <c r="E60" s="75"/>
      <c r="G60" s="74"/>
      <c r="I60" s="75"/>
    </row>
    <row r="61" spans="1:14">
      <c r="A61" s="68" t="s">
        <v>119</v>
      </c>
      <c r="B61" s="73"/>
      <c r="C61" s="73"/>
      <c r="D61" s="75"/>
      <c r="E61" s="75"/>
      <c r="G61" s="74"/>
      <c r="I61" s="75"/>
      <c r="K61" s="68"/>
    </row>
    <row r="62" spans="1:14">
      <c r="A62" s="70"/>
      <c r="C62" s="73"/>
      <c r="D62" s="67"/>
      <c r="E62" s="92" t="s">
        <v>177</v>
      </c>
      <c r="F62" s="70"/>
      <c r="G62" s="71"/>
      <c r="H62" s="71"/>
      <c r="I62" s="72"/>
      <c r="K62" s="71"/>
      <c r="L62" s="70"/>
    </row>
    <row r="63" spans="1:14">
      <c r="A63" s="73"/>
      <c r="D63" s="74"/>
      <c r="E63" s="93" t="s">
        <v>179</v>
      </c>
      <c r="F63" s="75"/>
      <c r="G63" s="75"/>
      <c r="H63" s="75"/>
      <c r="I63" s="75"/>
      <c r="K63" s="73"/>
      <c r="L63" s="75"/>
    </row>
    <row r="64" spans="1:14">
      <c r="A64" s="73"/>
      <c r="D64" s="74"/>
      <c r="E64" s="93" t="s">
        <v>178</v>
      </c>
      <c r="F64" s="75"/>
      <c r="G64" s="75"/>
      <c r="H64" s="75"/>
      <c r="I64" s="75"/>
      <c r="K64" s="73"/>
      <c r="L64" s="75"/>
    </row>
    <row r="65" spans="1:12">
      <c r="A65" s="73"/>
      <c r="D65" s="74"/>
      <c r="E65" s="75"/>
      <c r="F65" s="75"/>
      <c r="G65" s="75"/>
      <c r="H65" s="75"/>
      <c r="I65" s="75"/>
      <c r="J65" s="74"/>
      <c r="K65" s="73"/>
      <c r="L65" s="75"/>
    </row>
    <row r="66" spans="1:12">
      <c r="A66" s="73"/>
      <c r="D66" s="74"/>
      <c r="E66" s="75"/>
      <c r="F66" s="75"/>
      <c r="G66" s="75"/>
      <c r="H66" s="75"/>
      <c r="I66" s="75"/>
      <c r="K66" s="73"/>
      <c r="L66" s="75"/>
    </row>
    <row r="67" spans="1:12">
      <c r="A67" s="73"/>
      <c r="D67" s="74"/>
      <c r="E67" s="75"/>
      <c r="F67" s="75"/>
      <c r="G67" s="75"/>
      <c r="H67" s="75"/>
      <c r="I67" s="75"/>
      <c r="K67" s="73"/>
      <c r="L67" s="75"/>
    </row>
    <row r="68" spans="1:12">
      <c r="A68" s="73"/>
      <c r="D68" s="74"/>
      <c r="F68" s="75"/>
      <c r="I68" s="75"/>
      <c r="K68" s="73"/>
      <c r="L68" s="75"/>
    </row>
    <row r="69" spans="1:12">
      <c r="A69" s="73"/>
      <c r="D69" s="74"/>
      <c r="F69" s="75"/>
      <c r="I69" s="75"/>
      <c r="K69" s="73"/>
      <c r="L69" s="75"/>
    </row>
  </sheetData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M51"/>
  <sheetViews>
    <sheetView zoomScaleNormal="100" workbookViewId="0">
      <selection activeCell="A3" sqref="A3"/>
    </sheetView>
  </sheetViews>
  <sheetFormatPr defaultColWidth="9" defaultRowHeight="12.75"/>
  <cols>
    <col min="1" max="16384" width="9" style="65"/>
  </cols>
  <sheetData>
    <row r="1" spans="1:9" ht="15.75">
      <c r="A1" s="64" t="s">
        <v>124</v>
      </c>
    </row>
    <row r="2" spans="1:9">
      <c r="A2" s="66" t="s">
        <v>125</v>
      </c>
    </row>
    <row r="4" spans="1:9">
      <c r="A4" s="68" t="s">
        <v>126</v>
      </c>
      <c r="C4" s="66" t="s">
        <v>127</v>
      </c>
    </row>
    <row r="6" spans="1:9">
      <c r="A6" s="67" t="s">
        <v>136</v>
      </c>
      <c r="B6" s="73">
        <v>18</v>
      </c>
      <c r="C6" s="73">
        <v>19</v>
      </c>
      <c r="E6" s="67" t="s">
        <v>137</v>
      </c>
      <c r="F6" s="73">
        <v>1</v>
      </c>
      <c r="H6" s="67" t="s">
        <v>138</v>
      </c>
      <c r="I6" s="67" t="s">
        <v>142</v>
      </c>
    </row>
    <row r="7" spans="1:9">
      <c r="A7" s="67" t="s">
        <v>128</v>
      </c>
      <c r="B7" s="67" t="s">
        <v>129</v>
      </c>
      <c r="C7" s="75">
        <f>Car.Soll.!G27*F7</f>
        <v>162.54</v>
      </c>
      <c r="D7" s="66" t="s">
        <v>130</v>
      </c>
      <c r="E7" s="94" t="s">
        <v>180</v>
      </c>
      <c r="F7" s="74">
        <v>1</v>
      </c>
      <c r="G7" s="78" t="s">
        <v>143</v>
      </c>
    </row>
    <row r="8" spans="1:9">
      <c r="A8" s="67" t="s">
        <v>132</v>
      </c>
      <c r="B8" s="67" t="s">
        <v>129</v>
      </c>
      <c r="C8" s="75">
        <v>60</v>
      </c>
      <c r="D8" s="66" t="s">
        <v>130</v>
      </c>
      <c r="E8" s="78" t="s">
        <v>144</v>
      </c>
    </row>
    <row r="9" spans="1:9">
      <c r="A9" s="67" t="s">
        <v>134</v>
      </c>
      <c r="B9" s="67" t="s">
        <v>135</v>
      </c>
      <c r="C9" s="75">
        <f>C7+C8</f>
        <v>222.54</v>
      </c>
      <c r="D9" s="66" t="s">
        <v>130</v>
      </c>
    </row>
    <row r="11" spans="1:9">
      <c r="A11" s="67" t="s">
        <v>136</v>
      </c>
      <c r="B11" s="73">
        <v>20</v>
      </c>
      <c r="C11" s="73">
        <v>27</v>
      </c>
      <c r="E11" s="67" t="s">
        <v>137</v>
      </c>
      <c r="F11" s="73">
        <v>1</v>
      </c>
      <c r="H11" s="67" t="s">
        <v>138</v>
      </c>
      <c r="I11" s="67" t="s">
        <v>139</v>
      </c>
    </row>
    <row r="12" spans="1:9">
      <c r="A12" s="67" t="s">
        <v>128</v>
      </c>
      <c r="B12" s="67" t="s">
        <v>129</v>
      </c>
      <c r="C12" s="75">
        <f>Car.Soll.!G58*F12</f>
        <v>181.11600000000001</v>
      </c>
      <c r="D12" s="66" t="s">
        <v>130</v>
      </c>
      <c r="E12" s="94" t="s">
        <v>180</v>
      </c>
      <c r="F12" s="74">
        <v>1.2</v>
      </c>
      <c r="G12" s="78" t="s">
        <v>131</v>
      </c>
    </row>
    <row r="13" spans="1:9">
      <c r="A13" s="67" t="s">
        <v>132</v>
      </c>
      <c r="B13" s="67" t="s">
        <v>129</v>
      </c>
      <c r="C13" s="75">
        <v>30</v>
      </c>
      <c r="D13" s="66" t="s">
        <v>130</v>
      </c>
      <c r="E13" s="78" t="s">
        <v>133</v>
      </c>
    </row>
    <row r="14" spans="1:9">
      <c r="A14" s="67" t="s">
        <v>134</v>
      </c>
      <c r="B14" s="67" t="s">
        <v>135</v>
      </c>
      <c r="C14" s="75">
        <f>C12+C13</f>
        <v>211.11600000000001</v>
      </c>
      <c r="D14" s="66" t="s">
        <v>130</v>
      </c>
    </row>
    <row r="16" spans="1:9">
      <c r="A16" s="67" t="s">
        <v>136</v>
      </c>
      <c r="B16" s="73">
        <v>20</v>
      </c>
      <c r="C16" s="73">
        <v>27</v>
      </c>
      <c r="E16" s="67" t="s">
        <v>137</v>
      </c>
      <c r="F16" s="73">
        <v>2</v>
      </c>
      <c r="H16" s="67" t="s">
        <v>138</v>
      </c>
      <c r="I16" s="67" t="s">
        <v>139</v>
      </c>
    </row>
    <row r="17" spans="1:9">
      <c r="A17" s="67" t="s">
        <v>128</v>
      </c>
      <c r="B17" s="67" t="s">
        <v>129</v>
      </c>
      <c r="C17" s="75">
        <f>Car.Soll.!G57*F17</f>
        <v>171.93600000000001</v>
      </c>
      <c r="D17" s="66" t="s">
        <v>130</v>
      </c>
      <c r="E17" s="94" t="s">
        <v>180</v>
      </c>
      <c r="F17" s="74">
        <v>1.2</v>
      </c>
      <c r="G17" s="78" t="s">
        <v>131</v>
      </c>
    </row>
    <row r="18" spans="1:9">
      <c r="A18" s="67" t="s">
        <v>132</v>
      </c>
      <c r="B18" s="67" t="s">
        <v>129</v>
      </c>
      <c r="C18" s="75">
        <v>60</v>
      </c>
      <c r="D18" s="66" t="s">
        <v>130</v>
      </c>
      <c r="E18" s="78" t="s">
        <v>140</v>
      </c>
    </row>
    <row r="19" spans="1:9">
      <c r="A19" s="67" t="s">
        <v>134</v>
      </c>
      <c r="B19" s="67" t="s">
        <v>135</v>
      </c>
      <c r="C19" s="75">
        <f>C17+C18</f>
        <v>231.93600000000001</v>
      </c>
      <c r="D19" s="66" t="s">
        <v>130</v>
      </c>
      <c r="E19" s="79" t="s">
        <v>141</v>
      </c>
      <c r="G19" s="79" t="s">
        <v>184</v>
      </c>
    </row>
    <row r="21" spans="1:9">
      <c r="A21" s="67" t="s">
        <v>136</v>
      </c>
      <c r="B21" s="73">
        <v>20</v>
      </c>
      <c r="C21" s="73">
        <v>27</v>
      </c>
      <c r="E21" s="67" t="s">
        <v>137</v>
      </c>
      <c r="F21" s="73">
        <v>4</v>
      </c>
      <c r="H21" s="67" t="s">
        <v>138</v>
      </c>
      <c r="I21" s="67" t="s">
        <v>139</v>
      </c>
    </row>
    <row r="22" spans="1:9">
      <c r="A22" s="67" t="s">
        <v>128</v>
      </c>
      <c r="B22" s="67" t="s">
        <v>129</v>
      </c>
      <c r="C22" s="75">
        <f>Car.Soll.!G55*F22</f>
        <v>93.635999999999996</v>
      </c>
      <c r="D22" s="66" t="s">
        <v>130</v>
      </c>
      <c r="E22" s="94" t="s">
        <v>180</v>
      </c>
      <c r="F22" s="74">
        <v>1.2</v>
      </c>
      <c r="G22" s="78" t="s">
        <v>131</v>
      </c>
    </row>
    <row r="23" spans="1:9">
      <c r="A23" s="67" t="s">
        <v>132</v>
      </c>
      <c r="B23" s="67" t="s">
        <v>129</v>
      </c>
      <c r="C23" s="75">
        <v>60</v>
      </c>
      <c r="D23" s="66" t="s">
        <v>130</v>
      </c>
      <c r="E23" s="78" t="s">
        <v>140</v>
      </c>
    </row>
    <row r="24" spans="1:9">
      <c r="A24" s="67" t="s">
        <v>134</v>
      </c>
      <c r="B24" s="67" t="s">
        <v>135</v>
      </c>
      <c r="C24" s="75">
        <f>C22+C23</f>
        <v>153.636</v>
      </c>
      <c r="D24" s="66" t="s">
        <v>130</v>
      </c>
      <c r="E24" s="79" t="s">
        <v>145</v>
      </c>
    </row>
    <row r="27" spans="1:9">
      <c r="A27" s="80" t="s">
        <v>7</v>
      </c>
    </row>
    <row r="29" spans="1:9">
      <c r="A29" s="67" t="s">
        <v>146</v>
      </c>
      <c r="B29" s="73">
        <v>2</v>
      </c>
      <c r="C29" s="73"/>
      <c r="E29" s="67" t="s">
        <v>147</v>
      </c>
      <c r="F29" s="67" t="s">
        <v>148</v>
      </c>
      <c r="H29" s="67" t="s">
        <v>138</v>
      </c>
      <c r="I29" s="67" t="s">
        <v>142</v>
      </c>
    </row>
    <row r="30" spans="1:9">
      <c r="A30" s="67" t="s">
        <v>128</v>
      </c>
      <c r="B30" s="67" t="s">
        <v>135</v>
      </c>
      <c r="C30" s="75">
        <f>Car.Soll.!F28*F30</f>
        <v>317.76312960000001</v>
      </c>
      <c r="D30" s="66" t="s">
        <v>130</v>
      </c>
      <c r="E30" s="94" t="s">
        <v>180</v>
      </c>
      <c r="F30" s="74">
        <v>1.2</v>
      </c>
      <c r="G30" s="78" t="s">
        <v>149</v>
      </c>
    </row>
    <row r="31" spans="1:9">
      <c r="A31" s="67"/>
      <c r="B31" s="67" t="s">
        <v>150</v>
      </c>
      <c r="C31" s="81">
        <v>0</v>
      </c>
      <c r="D31" s="66" t="s">
        <v>8</v>
      </c>
      <c r="E31" s="78" t="s">
        <v>151</v>
      </c>
    </row>
    <row r="32" spans="1:9">
      <c r="A32" s="67" t="s">
        <v>132</v>
      </c>
      <c r="B32" s="67" t="s">
        <v>152</v>
      </c>
      <c r="C32" s="81">
        <v>550</v>
      </c>
      <c r="D32" s="66" t="s">
        <v>8</v>
      </c>
      <c r="E32" s="78" t="s">
        <v>153</v>
      </c>
    </row>
    <row r="33" spans="1:13">
      <c r="A33" s="67"/>
      <c r="B33" s="67" t="s">
        <v>154</v>
      </c>
      <c r="C33" s="81">
        <f>C32-C31</f>
        <v>550</v>
      </c>
      <c r="D33" s="66" t="s">
        <v>8</v>
      </c>
      <c r="E33" s="78"/>
      <c r="F33" s="67" t="s">
        <v>155</v>
      </c>
      <c r="G33" s="81">
        <f>C32+C31</f>
        <v>550</v>
      </c>
      <c r="H33" s="66" t="s">
        <v>8</v>
      </c>
    </row>
    <row r="35" spans="1:13">
      <c r="A35" s="67" t="s">
        <v>146</v>
      </c>
      <c r="B35" s="73">
        <v>3</v>
      </c>
      <c r="C35" s="73"/>
      <c r="E35" s="67" t="s">
        <v>147</v>
      </c>
      <c r="F35" s="67" t="s">
        <v>148</v>
      </c>
      <c r="H35" s="67" t="s">
        <v>138</v>
      </c>
      <c r="I35" s="67" t="s">
        <v>142</v>
      </c>
    </row>
    <row r="36" spans="1:13">
      <c r="A36" s="67" t="s">
        <v>128</v>
      </c>
      <c r="B36" s="67" t="s">
        <v>135</v>
      </c>
      <c r="C36" s="75">
        <f>Car.Soll.!F28*F36*L36</f>
        <v>254.21050368000002</v>
      </c>
      <c r="D36" s="66" t="s">
        <v>130</v>
      </c>
      <c r="E36" s="94" t="s">
        <v>180</v>
      </c>
      <c r="F36" s="74">
        <v>1.2</v>
      </c>
      <c r="G36" s="78" t="s">
        <v>181</v>
      </c>
      <c r="K36" s="95" t="s">
        <v>183</v>
      </c>
      <c r="L36" s="73">
        <v>0.8</v>
      </c>
      <c r="M36" s="65" t="s">
        <v>182</v>
      </c>
    </row>
    <row r="37" spans="1:13">
      <c r="A37" s="67"/>
      <c r="B37" s="67" t="s">
        <v>150</v>
      </c>
      <c r="C37" s="81">
        <f>Car.Soll.!I27*F36</f>
        <v>361.75609756097566</v>
      </c>
      <c r="D37" s="66" t="s">
        <v>8</v>
      </c>
      <c r="E37" s="78" t="s">
        <v>156</v>
      </c>
    </row>
    <row r="38" spans="1:13">
      <c r="A38" s="67" t="s">
        <v>132</v>
      </c>
      <c r="B38" s="67" t="s">
        <v>152</v>
      </c>
      <c r="C38" s="81">
        <v>400</v>
      </c>
      <c r="D38" s="66" t="s">
        <v>8</v>
      </c>
      <c r="E38" s="78" t="s">
        <v>157</v>
      </c>
    </row>
    <row r="39" spans="1:13">
      <c r="A39" s="67"/>
      <c r="B39" s="67" t="s">
        <v>154</v>
      </c>
      <c r="C39" s="81">
        <f>C38-C37</f>
        <v>38.243902439024339</v>
      </c>
      <c r="D39" s="66" t="s">
        <v>8</v>
      </c>
      <c r="E39" s="78"/>
      <c r="F39" s="67" t="s">
        <v>155</v>
      </c>
      <c r="G39" s="81">
        <f>C38+C37</f>
        <v>761.7560975609756</v>
      </c>
      <c r="H39" s="66" t="s">
        <v>8</v>
      </c>
    </row>
    <row r="41" spans="1:13">
      <c r="A41" s="67" t="s">
        <v>146</v>
      </c>
      <c r="B41" s="73">
        <v>2</v>
      </c>
      <c r="C41" s="73"/>
      <c r="E41" s="67" t="s">
        <v>147</v>
      </c>
      <c r="F41" s="67">
        <v>2</v>
      </c>
      <c r="H41" s="67" t="s">
        <v>138</v>
      </c>
      <c r="I41" s="67" t="s">
        <v>142</v>
      </c>
    </row>
    <row r="42" spans="1:13">
      <c r="A42" s="67" t="s">
        <v>128</v>
      </c>
      <c r="B42" s="67" t="s">
        <v>135</v>
      </c>
      <c r="C42" s="75">
        <f>Car.Soll.!L26*F42</f>
        <v>299.24614802617026</v>
      </c>
      <c r="D42" s="66" t="s">
        <v>130</v>
      </c>
      <c r="E42" s="94" t="s">
        <v>180</v>
      </c>
      <c r="F42" s="74">
        <v>1.2</v>
      </c>
      <c r="G42" s="78" t="s">
        <v>149</v>
      </c>
    </row>
    <row r="43" spans="1:13">
      <c r="A43" s="67"/>
      <c r="B43" s="67" t="s">
        <v>150</v>
      </c>
      <c r="C43" s="81">
        <v>0</v>
      </c>
      <c r="D43" s="66" t="s">
        <v>8</v>
      </c>
      <c r="E43" s="78" t="s">
        <v>151</v>
      </c>
    </row>
    <row r="44" spans="1:13">
      <c r="A44" s="67" t="s">
        <v>132</v>
      </c>
      <c r="B44" s="67" t="s">
        <v>152</v>
      </c>
      <c r="C44" s="81">
        <v>440</v>
      </c>
      <c r="D44" s="66" t="s">
        <v>8</v>
      </c>
      <c r="E44" s="78" t="s">
        <v>153</v>
      </c>
    </row>
    <row r="45" spans="1:13">
      <c r="A45" s="67"/>
      <c r="B45" s="67" t="s">
        <v>154</v>
      </c>
      <c r="C45" s="81">
        <f>C44-C43</f>
        <v>440</v>
      </c>
      <c r="D45" s="66" t="s">
        <v>8</v>
      </c>
      <c r="E45" s="78"/>
      <c r="F45" s="67" t="s">
        <v>155</v>
      </c>
      <c r="G45" s="81">
        <f>C44+C43</f>
        <v>440</v>
      </c>
      <c r="H45" s="66" t="s">
        <v>8</v>
      </c>
    </row>
    <row r="47" spans="1:13">
      <c r="A47" s="67" t="s">
        <v>146</v>
      </c>
      <c r="B47" s="73">
        <v>3</v>
      </c>
      <c r="C47" s="73"/>
      <c r="E47" s="67" t="s">
        <v>147</v>
      </c>
      <c r="F47" s="67">
        <v>2</v>
      </c>
      <c r="H47" s="67" t="s">
        <v>138</v>
      </c>
      <c r="I47" s="67" t="s">
        <v>142</v>
      </c>
    </row>
    <row r="48" spans="1:13">
      <c r="A48" s="67" t="s">
        <v>128</v>
      </c>
      <c r="B48" s="67" t="s">
        <v>135</v>
      </c>
      <c r="C48" s="75">
        <f>Car.Soll.!L26*F48*L48</f>
        <v>209.47230361831916</v>
      </c>
      <c r="D48" s="66" t="s">
        <v>130</v>
      </c>
      <c r="E48" s="94" t="s">
        <v>180</v>
      </c>
      <c r="F48" s="74">
        <v>1.2</v>
      </c>
      <c r="G48" s="78" t="s">
        <v>181</v>
      </c>
      <c r="K48" s="95" t="s">
        <v>183</v>
      </c>
      <c r="L48" s="73">
        <v>0.7</v>
      </c>
      <c r="M48" s="65" t="s">
        <v>182</v>
      </c>
    </row>
    <row r="49" spans="1:8">
      <c r="A49" s="67"/>
      <c r="B49" s="67" t="s">
        <v>150</v>
      </c>
      <c r="C49" s="81">
        <f>Car.Soll.!I26*F48</f>
        <v>256.03902439024392</v>
      </c>
      <c r="D49" s="66" t="s">
        <v>8</v>
      </c>
      <c r="E49" s="78" t="s">
        <v>156</v>
      </c>
    </row>
    <row r="50" spans="1:8">
      <c r="A50" s="67" t="s">
        <v>132</v>
      </c>
      <c r="B50" s="67" t="s">
        <v>152</v>
      </c>
      <c r="C50" s="81">
        <v>320</v>
      </c>
      <c r="D50" s="66" t="s">
        <v>8</v>
      </c>
      <c r="E50" s="78" t="s">
        <v>157</v>
      </c>
    </row>
    <row r="51" spans="1:8">
      <c r="A51" s="67"/>
      <c r="B51" s="67" t="s">
        <v>154</v>
      </c>
      <c r="C51" s="81">
        <f>C50-C49</f>
        <v>63.960975609756076</v>
      </c>
      <c r="D51" s="66" t="s">
        <v>8</v>
      </c>
      <c r="E51" s="78"/>
      <c r="F51" s="67" t="s">
        <v>155</v>
      </c>
      <c r="G51" s="81">
        <f>C50+C49</f>
        <v>576.03902439024387</v>
      </c>
      <c r="H51" s="66" t="s">
        <v>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Travi</vt:lpstr>
      <vt:lpstr>Pilastri</vt:lpstr>
      <vt:lpstr>Masse</vt:lpstr>
      <vt:lpstr>Spettri di risposta</vt:lpstr>
      <vt:lpstr>Forze</vt:lpstr>
      <vt:lpstr>Car.Soll.</vt:lpstr>
      <vt:lpstr>Dimensionamento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Aurelio Ghersi</cp:lastModifiedBy>
  <dcterms:created xsi:type="dcterms:W3CDTF">2017-04-19T13:36:05Z</dcterms:created>
  <dcterms:modified xsi:type="dcterms:W3CDTF">2018-02-26T18:03:13Z</dcterms:modified>
</cp:coreProperties>
</file>