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msung\Desktop\progetto_nuovo\"/>
    </mc:Choice>
  </mc:AlternateContent>
  <bookViews>
    <workbookView xWindow="0" yWindow="0" windowWidth="24000" windowHeight="9735"/>
  </bookViews>
  <sheets>
    <sheet name="carichi unitari" sheetId="3" r:id="rId1"/>
    <sheet name="caratteristiche della sollecita" sheetId="4" r:id="rId2"/>
    <sheet name="rigidezza" sheetId="5" r:id="rId3"/>
    <sheet name="Bilanciamento" sheetId="9" r:id="rId4"/>
    <sheet name="Periodo_proprio" sheetId="6" r:id="rId5"/>
    <sheet name="sollecitazioni nuovo periodo_x" sheetId="7" r:id="rId6"/>
    <sheet name="sollecitzioninuovo periodo_y" sheetId="8" r:id="rId7"/>
    <sheet name="sollecitazioni_tel_x" sheetId="16" r:id="rId8"/>
    <sheet name="sollecitazioni_tel_y" sheetId="17" r:id="rId9"/>
    <sheet name="Periodo_tel" sheetId="15" r:id="rId10"/>
    <sheet name="coppie per eccentricità" sheetId="18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8" i="3" l="1"/>
  <c r="B13" i="17" l="1"/>
  <c r="B13" i="16"/>
  <c r="O33" i="15"/>
  <c r="O32" i="15"/>
  <c r="O21" i="15"/>
  <c r="O20" i="15"/>
  <c r="F30" i="15"/>
  <c r="F31" i="15"/>
  <c r="F32" i="15"/>
  <c r="F33" i="15"/>
  <c r="F34" i="15"/>
  <c r="F35" i="15"/>
  <c r="F5" i="15"/>
  <c r="F6" i="15"/>
  <c r="F7" i="15"/>
  <c r="F8" i="15"/>
  <c r="F9" i="15"/>
  <c r="F10" i="15"/>
  <c r="B13" i="8" l="1"/>
  <c r="B13" i="7"/>
  <c r="E3" i="18" l="1"/>
  <c r="E4" i="18"/>
  <c r="E5" i="18"/>
  <c r="E6" i="18"/>
  <c r="E7" i="18"/>
  <c r="E8" i="18"/>
  <c r="D5" i="18"/>
  <c r="F5" i="18" s="1"/>
  <c r="D6" i="18"/>
  <c r="F6" i="18" s="1"/>
  <c r="C5" i="18"/>
  <c r="C3" i="18"/>
  <c r="B3" i="18"/>
  <c r="B4" i="18"/>
  <c r="B5" i="18"/>
  <c r="B6" i="18"/>
  <c r="B7" i="18"/>
  <c r="B8" i="18"/>
  <c r="A3" i="18"/>
  <c r="D3" i="18" s="1"/>
  <c r="F3" i="18" s="1"/>
  <c r="A4" i="18"/>
  <c r="D4" i="18" s="1"/>
  <c r="F4" i="18" s="1"/>
  <c r="A5" i="18"/>
  <c r="A6" i="18"/>
  <c r="C6" i="18" s="1"/>
  <c r="A7" i="18"/>
  <c r="D7" i="18" s="1"/>
  <c r="F7" i="18" s="1"/>
  <c r="A8" i="18"/>
  <c r="D8" i="18" s="1"/>
  <c r="F8" i="18" s="1"/>
  <c r="AA17" i="9"/>
  <c r="AA18" i="9"/>
  <c r="AA19" i="9"/>
  <c r="AA20" i="9"/>
  <c r="AA21" i="9"/>
  <c r="AA16" i="9"/>
  <c r="X17" i="9"/>
  <c r="X18" i="9"/>
  <c r="X19" i="9"/>
  <c r="X20" i="9"/>
  <c r="X21" i="9"/>
  <c r="X16" i="9"/>
  <c r="C8" i="18" l="1"/>
  <c r="C4" i="18"/>
  <c r="C7" i="18"/>
  <c r="B115" i="17"/>
  <c r="B114" i="17"/>
  <c r="B113" i="17"/>
  <c r="B112" i="17"/>
  <c r="B111" i="17"/>
  <c r="B110" i="17"/>
  <c r="D65" i="17"/>
  <c r="C65" i="17"/>
  <c r="D64" i="17"/>
  <c r="C64" i="17"/>
  <c r="D63" i="17"/>
  <c r="C63" i="17"/>
  <c r="D62" i="17"/>
  <c r="C62" i="17"/>
  <c r="D61" i="17"/>
  <c r="C61" i="17"/>
  <c r="D60" i="17"/>
  <c r="C60" i="17"/>
  <c r="B30" i="17"/>
  <c r="B29" i="17" s="1"/>
  <c r="B28" i="17" s="1"/>
  <c r="B27" i="17" s="1"/>
  <c r="B26" i="17" s="1"/>
  <c r="B17" i="17"/>
  <c r="B19" i="17" s="1"/>
  <c r="B12" i="17"/>
  <c r="E7" i="17"/>
  <c r="E6" i="17"/>
  <c r="F6" i="17" s="1"/>
  <c r="E5" i="17"/>
  <c r="E4" i="17"/>
  <c r="F4" i="17" s="1"/>
  <c r="E3" i="17"/>
  <c r="F3" i="17" s="1"/>
  <c r="E2" i="17"/>
  <c r="F2" i="17" s="1"/>
  <c r="B115" i="16"/>
  <c r="B114" i="16"/>
  <c r="B113" i="16"/>
  <c r="B112" i="16"/>
  <c r="B111" i="16"/>
  <c r="B110" i="16"/>
  <c r="D65" i="16"/>
  <c r="C65" i="16"/>
  <c r="D64" i="16"/>
  <c r="C64" i="16"/>
  <c r="D63" i="16"/>
  <c r="C63" i="16"/>
  <c r="D62" i="16"/>
  <c r="C62" i="16"/>
  <c r="D61" i="16"/>
  <c r="C61" i="16"/>
  <c r="D60" i="16"/>
  <c r="C60" i="16"/>
  <c r="B30" i="16"/>
  <c r="B29" i="16"/>
  <c r="B28" i="16" s="1"/>
  <c r="B27" i="16" s="1"/>
  <c r="B26" i="16" s="1"/>
  <c r="B19" i="16"/>
  <c r="B17" i="16"/>
  <c r="B12" i="16"/>
  <c r="E7" i="16"/>
  <c r="F7" i="16" s="1"/>
  <c r="E6" i="16"/>
  <c r="C30" i="16" s="1"/>
  <c r="E5" i="16"/>
  <c r="C29" i="16" s="1"/>
  <c r="E4" i="16"/>
  <c r="C28" i="16" s="1"/>
  <c r="E3" i="16"/>
  <c r="F3" i="16" s="1"/>
  <c r="F2" i="16"/>
  <c r="E2" i="16"/>
  <c r="C26" i="16" s="1"/>
  <c r="C29" i="17" l="1"/>
  <c r="F5" i="17"/>
  <c r="F8" i="17"/>
  <c r="C27" i="17"/>
  <c r="C31" i="17"/>
  <c r="F7" i="17"/>
  <c r="E8" i="17"/>
  <c r="B23" i="17" s="1"/>
  <c r="C26" i="17"/>
  <c r="C28" i="17"/>
  <c r="C30" i="17"/>
  <c r="F6" i="16"/>
  <c r="C31" i="16"/>
  <c r="F4" i="16"/>
  <c r="C27" i="16"/>
  <c r="C33" i="16" s="1"/>
  <c r="F5" i="16"/>
  <c r="E8" i="16"/>
  <c r="B23" i="16" s="1"/>
  <c r="P33" i="15"/>
  <c r="P32" i="15"/>
  <c r="P21" i="15"/>
  <c r="P20" i="15"/>
  <c r="D50" i="15"/>
  <c r="B50" i="15"/>
  <c r="C44" i="15"/>
  <c r="B44" i="15"/>
  <c r="C43" i="15"/>
  <c r="B43" i="15"/>
  <c r="C42" i="15"/>
  <c r="B42" i="15"/>
  <c r="C41" i="15"/>
  <c r="B41" i="15"/>
  <c r="C40" i="15"/>
  <c r="B40" i="15"/>
  <c r="C39" i="15"/>
  <c r="B39" i="15"/>
  <c r="C35" i="15"/>
  <c r="B35" i="15"/>
  <c r="C34" i="15"/>
  <c r="B34" i="15"/>
  <c r="C33" i="15"/>
  <c r="B33" i="15"/>
  <c r="C32" i="15"/>
  <c r="B32" i="15"/>
  <c r="C31" i="15"/>
  <c r="B31" i="15"/>
  <c r="C30" i="15"/>
  <c r="B30" i="15"/>
  <c r="C19" i="15"/>
  <c r="B19" i="15"/>
  <c r="C18" i="15"/>
  <c r="B18" i="15"/>
  <c r="C17" i="15"/>
  <c r="B17" i="15"/>
  <c r="C16" i="15"/>
  <c r="B16" i="15"/>
  <c r="C15" i="15"/>
  <c r="B15" i="15"/>
  <c r="C14" i="15"/>
  <c r="B14" i="15"/>
  <c r="C10" i="15"/>
  <c r="B10" i="15"/>
  <c r="C9" i="15"/>
  <c r="B9" i="15"/>
  <c r="C8" i="15"/>
  <c r="B8" i="15"/>
  <c r="C7" i="15"/>
  <c r="B7" i="15"/>
  <c r="C6" i="15"/>
  <c r="B6" i="15"/>
  <c r="C5" i="15"/>
  <c r="B5" i="15"/>
  <c r="C33" i="17" l="1"/>
  <c r="D31" i="17" s="1"/>
  <c r="D27" i="17"/>
  <c r="D29" i="17"/>
  <c r="D30" i="16"/>
  <c r="F8" i="16"/>
  <c r="D26" i="16"/>
  <c r="D27" i="16"/>
  <c r="D29" i="16"/>
  <c r="D31" i="16"/>
  <c r="D28" i="16"/>
  <c r="D19" i="15"/>
  <c r="E19" i="15" s="1"/>
  <c r="F19" i="15" l="1"/>
  <c r="D26" i="17"/>
  <c r="D28" i="17"/>
  <c r="D30" i="17"/>
  <c r="D33" i="16"/>
  <c r="E26" i="16"/>
  <c r="D39" i="15"/>
  <c r="D18" i="15"/>
  <c r="D33" i="17" l="1"/>
  <c r="E26" i="17"/>
  <c r="E27" i="16"/>
  <c r="E38" i="16"/>
  <c r="E18" i="15"/>
  <c r="F18" i="15"/>
  <c r="D17" i="15"/>
  <c r="D40" i="15"/>
  <c r="F39" i="15"/>
  <c r="E39" i="15"/>
  <c r="E38" i="17" l="1"/>
  <c r="E27" i="17"/>
  <c r="E28" i="16"/>
  <c r="E39" i="16"/>
  <c r="D16" i="15"/>
  <c r="F17" i="15"/>
  <c r="E17" i="15"/>
  <c r="E40" i="15"/>
  <c r="F40" i="15"/>
  <c r="D41" i="15"/>
  <c r="E39" i="17" l="1"/>
  <c r="E28" i="17"/>
  <c r="E29" i="16"/>
  <c r="E40" i="16"/>
  <c r="D42" i="15"/>
  <c r="E16" i="15"/>
  <c r="F16" i="15"/>
  <c r="E41" i="15"/>
  <c r="F41" i="15"/>
  <c r="D14" i="15"/>
  <c r="D15" i="15"/>
  <c r="E40" i="17" l="1"/>
  <c r="E29" i="17"/>
  <c r="E41" i="16"/>
  <c r="E30" i="16"/>
  <c r="F42" i="15"/>
  <c r="E42" i="15"/>
  <c r="E15" i="15"/>
  <c r="F15" i="15"/>
  <c r="E14" i="15"/>
  <c r="F14" i="15"/>
  <c r="D43" i="15"/>
  <c r="D44" i="15"/>
  <c r="E41" i="17" l="1"/>
  <c r="E30" i="17"/>
  <c r="E42" i="16"/>
  <c r="E31" i="16"/>
  <c r="E33" i="16" s="1"/>
  <c r="F43" i="15"/>
  <c r="E43" i="15"/>
  <c r="F20" i="15"/>
  <c r="B23" i="15" s="1"/>
  <c r="E44" i="15"/>
  <c r="F44" i="15"/>
  <c r="E20" i="15"/>
  <c r="E45" i="15" l="1"/>
  <c r="E31" i="17"/>
  <c r="E42" i="17"/>
  <c r="E43" i="16"/>
  <c r="F45" i="15"/>
  <c r="B47" i="15" l="1"/>
  <c r="E43" i="17"/>
  <c r="E33" i="17"/>
  <c r="B146" i="3" l="1"/>
  <c r="H26" i="4" l="1"/>
  <c r="H27" i="4"/>
  <c r="H28" i="4"/>
  <c r="H29" i="4"/>
  <c r="H30" i="4"/>
  <c r="H31" i="4"/>
  <c r="Q144" i="9" l="1"/>
  <c r="R144" i="9"/>
  <c r="O185" i="9"/>
  <c r="P185" i="9"/>
  <c r="B30" i="8" l="1"/>
  <c r="C29" i="8"/>
  <c r="B29" i="8"/>
  <c r="B28" i="8" s="1"/>
  <c r="B27" i="8" s="1"/>
  <c r="B19" i="8"/>
  <c r="B17" i="8"/>
  <c r="B12" i="8"/>
  <c r="E7" i="8"/>
  <c r="F7" i="8" s="1"/>
  <c r="F6" i="8"/>
  <c r="E6" i="8"/>
  <c r="C30" i="8" s="1"/>
  <c r="E5" i="8"/>
  <c r="F5" i="8" s="1"/>
  <c r="F4" i="8"/>
  <c r="E4" i="8"/>
  <c r="E3" i="8"/>
  <c r="F3" i="8" s="1"/>
  <c r="F2" i="8"/>
  <c r="F8" i="8" s="1"/>
  <c r="E2" i="8"/>
  <c r="B30" i="7"/>
  <c r="B29" i="7"/>
  <c r="B28" i="7" s="1"/>
  <c r="B27" i="7" s="1"/>
  <c r="B26" i="7" s="1"/>
  <c r="B17" i="7"/>
  <c r="B19" i="7" s="1"/>
  <c r="B12" i="7"/>
  <c r="E7" i="7"/>
  <c r="F7" i="7" s="1"/>
  <c r="E6" i="7"/>
  <c r="C30" i="7" s="1"/>
  <c r="E5" i="7"/>
  <c r="F5" i="7" s="1"/>
  <c r="E4" i="7"/>
  <c r="E3" i="7"/>
  <c r="F3" i="7" s="1"/>
  <c r="E2" i="7"/>
  <c r="B50" i="6"/>
  <c r="D50" i="6"/>
  <c r="C39" i="6"/>
  <c r="C40" i="6"/>
  <c r="C41" i="6"/>
  <c r="C42" i="6"/>
  <c r="C43" i="6"/>
  <c r="C44" i="6"/>
  <c r="B39" i="6"/>
  <c r="B40" i="6"/>
  <c r="B41" i="6"/>
  <c r="B42" i="6"/>
  <c r="B43" i="6"/>
  <c r="B44" i="6"/>
  <c r="C30" i="6"/>
  <c r="C31" i="6"/>
  <c r="C32" i="6"/>
  <c r="C33" i="6"/>
  <c r="C34" i="6"/>
  <c r="C35" i="6"/>
  <c r="B30" i="6"/>
  <c r="B31" i="6"/>
  <c r="B32" i="6"/>
  <c r="B33" i="6"/>
  <c r="B34" i="6"/>
  <c r="B35" i="6"/>
  <c r="C14" i="6"/>
  <c r="C15" i="6"/>
  <c r="C16" i="6"/>
  <c r="C17" i="6"/>
  <c r="C18" i="6"/>
  <c r="C19" i="6"/>
  <c r="B14" i="6"/>
  <c r="B15" i="6"/>
  <c r="B16" i="6"/>
  <c r="B17" i="6"/>
  <c r="B18" i="6"/>
  <c r="B19" i="6"/>
  <c r="C5" i="6"/>
  <c r="C6" i="6"/>
  <c r="C7" i="6"/>
  <c r="C8" i="6"/>
  <c r="C9" i="6"/>
  <c r="C10" i="6"/>
  <c r="B5" i="6"/>
  <c r="B6" i="6"/>
  <c r="B7" i="6"/>
  <c r="B8" i="6"/>
  <c r="B9" i="6"/>
  <c r="B10" i="6"/>
  <c r="B26" i="8" l="1"/>
  <c r="C26" i="8" s="1"/>
  <c r="C27" i="8"/>
  <c r="C28" i="8"/>
  <c r="C31" i="8"/>
  <c r="E8" i="8"/>
  <c r="B23" i="8" s="1"/>
  <c r="C31" i="7"/>
  <c r="C26" i="7"/>
  <c r="C28" i="7"/>
  <c r="F2" i="7"/>
  <c r="F4" i="7"/>
  <c r="F6" i="7"/>
  <c r="C27" i="7"/>
  <c r="C29" i="7"/>
  <c r="E8" i="7"/>
  <c r="B23" i="7" s="1"/>
  <c r="S141" i="5"/>
  <c r="AB130" i="5" s="1"/>
  <c r="J21" i="9" s="1"/>
  <c r="S140" i="5"/>
  <c r="AA130" i="5" s="1"/>
  <c r="H21" i="9" s="1"/>
  <c r="S139" i="5"/>
  <c r="Z130" i="5" s="1"/>
  <c r="F22" i="9" s="1"/>
  <c r="S138" i="5"/>
  <c r="Y130" i="5" s="1"/>
  <c r="D22" i="9" s="1"/>
  <c r="S137" i="5"/>
  <c r="X130" i="5" s="1"/>
  <c r="B21" i="9" s="1"/>
  <c r="G137" i="5"/>
  <c r="X123" i="5" s="1"/>
  <c r="B5" i="9" s="1"/>
  <c r="G136" i="5"/>
  <c r="AB124" i="5" s="1"/>
  <c r="K9" i="9" s="1"/>
  <c r="S136" i="5"/>
  <c r="AB131" i="5" s="1"/>
  <c r="K25" i="9" s="1"/>
  <c r="K34" i="9" s="1"/>
  <c r="K35" i="9" s="1"/>
  <c r="S135" i="5"/>
  <c r="AA131" i="5" s="1"/>
  <c r="H25" i="9" s="1"/>
  <c r="S134" i="5"/>
  <c r="Z131" i="5" s="1"/>
  <c r="F24" i="9" s="1"/>
  <c r="S133" i="5"/>
  <c r="Y131" i="5" s="1"/>
  <c r="D25" i="9" s="1"/>
  <c r="S132" i="5"/>
  <c r="X131" i="5" s="1"/>
  <c r="B25" i="9" s="1"/>
  <c r="S131" i="5"/>
  <c r="AB132" i="5" s="1"/>
  <c r="J28" i="9" s="1"/>
  <c r="S130" i="5"/>
  <c r="AA132" i="5" s="1"/>
  <c r="H28" i="9" s="1"/>
  <c r="S129" i="5"/>
  <c r="Z132" i="5" s="1"/>
  <c r="F28" i="9" s="1"/>
  <c r="S128" i="5"/>
  <c r="Y132" i="5" s="1"/>
  <c r="D28" i="9" s="1"/>
  <c r="S127" i="5"/>
  <c r="X132" i="5" s="1"/>
  <c r="B27" i="9" s="1"/>
  <c r="S126" i="5"/>
  <c r="Z133" i="5" s="1"/>
  <c r="F31" i="9" s="1"/>
  <c r="S125" i="5"/>
  <c r="Y133" i="5" s="1"/>
  <c r="D31" i="9" s="1"/>
  <c r="S124" i="5"/>
  <c r="X133" i="5" s="1"/>
  <c r="B32" i="9" s="1"/>
  <c r="H34" i="9" l="1"/>
  <c r="H35" i="9" s="1"/>
  <c r="B34" i="9"/>
  <c r="J34" i="9"/>
  <c r="J35" i="9" s="1"/>
  <c r="D34" i="9"/>
  <c r="D35" i="9" s="1"/>
  <c r="F34" i="9"/>
  <c r="F35" i="9" s="1"/>
  <c r="C33" i="8"/>
  <c r="D30" i="8" s="1"/>
  <c r="C33" i="7"/>
  <c r="D29" i="7" s="1"/>
  <c r="F8" i="7"/>
  <c r="D30" i="7"/>
  <c r="S117" i="5"/>
  <c r="AB106" i="5" s="1"/>
  <c r="J63" i="9" s="1"/>
  <c r="S116" i="5"/>
  <c r="AA106" i="5" s="1"/>
  <c r="H63" i="9" s="1"/>
  <c r="S115" i="5"/>
  <c r="Z106" i="5" s="1"/>
  <c r="F64" i="9" s="1"/>
  <c r="S114" i="5"/>
  <c r="Y106" i="5" s="1"/>
  <c r="D64" i="9" s="1"/>
  <c r="S113" i="5"/>
  <c r="X106" i="5" s="1"/>
  <c r="B63" i="9" s="1"/>
  <c r="S112" i="5"/>
  <c r="AB107" i="5" s="1"/>
  <c r="K67" i="9" s="1"/>
  <c r="K76" i="9" s="1"/>
  <c r="K77" i="9" s="1"/>
  <c r="S111" i="5"/>
  <c r="AA107" i="5" s="1"/>
  <c r="H67" i="9" s="1"/>
  <c r="S110" i="5"/>
  <c r="Z107" i="5" s="1"/>
  <c r="F66" i="9" s="1"/>
  <c r="S109" i="5"/>
  <c r="Y107" i="5" s="1"/>
  <c r="D67" i="9" s="1"/>
  <c r="S108" i="5"/>
  <c r="X107" i="5" s="1"/>
  <c r="B67" i="9" s="1"/>
  <c r="S107" i="5"/>
  <c r="AB108" i="5" s="1"/>
  <c r="J70" i="9" s="1"/>
  <c r="S106" i="5"/>
  <c r="AA108" i="5" s="1"/>
  <c r="H70" i="9" s="1"/>
  <c r="S105" i="5"/>
  <c r="Z108" i="5" s="1"/>
  <c r="F70" i="9" s="1"/>
  <c r="S104" i="5"/>
  <c r="Y108" i="5" s="1"/>
  <c r="D70" i="9" s="1"/>
  <c r="S103" i="5"/>
  <c r="X108" i="5" s="1"/>
  <c r="B69" i="9" s="1"/>
  <c r="S102" i="5"/>
  <c r="Z109" i="5" s="1"/>
  <c r="F73" i="9" s="1"/>
  <c r="S101" i="5"/>
  <c r="Y109" i="5" s="1"/>
  <c r="D73" i="9" s="1"/>
  <c r="S100" i="5"/>
  <c r="X109" i="5" s="1"/>
  <c r="B74" i="9" s="1"/>
  <c r="F76" i="9" l="1"/>
  <c r="F77" i="9" s="1"/>
  <c r="H76" i="9"/>
  <c r="H77" i="9" s="1"/>
  <c r="B35" i="9"/>
  <c r="M35" i="9" s="1"/>
  <c r="M34" i="9"/>
  <c r="B76" i="9"/>
  <c r="J76" i="9"/>
  <c r="J77" i="9" s="1"/>
  <c r="D76" i="9"/>
  <c r="D77" i="9" s="1"/>
  <c r="D28" i="8"/>
  <c r="D27" i="8"/>
  <c r="D31" i="8"/>
  <c r="D26" i="8"/>
  <c r="D29" i="8"/>
  <c r="D31" i="7"/>
  <c r="D27" i="7"/>
  <c r="D26" i="7"/>
  <c r="E26" i="7" s="1"/>
  <c r="D28" i="7"/>
  <c r="E38" i="7"/>
  <c r="E27" i="7"/>
  <c r="G93" i="5"/>
  <c r="AB75" i="5" s="1"/>
  <c r="J86" i="9" s="1"/>
  <c r="G92" i="5"/>
  <c r="AA75" i="5" s="1"/>
  <c r="H86" i="9" s="1"/>
  <c r="G91" i="5"/>
  <c r="Z75" i="5" s="1"/>
  <c r="F87" i="9" s="1"/>
  <c r="G90" i="5"/>
  <c r="Y75" i="5" s="1"/>
  <c r="D87" i="9" s="1"/>
  <c r="G89" i="5"/>
  <c r="X75" i="5" s="1"/>
  <c r="B86" i="9" s="1"/>
  <c r="G88" i="5"/>
  <c r="AB76" i="5" s="1"/>
  <c r="K90" i="9" s="1"/>
  <c r="G87" i="5"/>
  <c r="AA76" i="5" s="1"/>
  <c r="H90" i="9" s="1"/>
  <c r="G86" i="5"/>
  <c r="Z76" i="5" s="1"/>
  <c r="F89" i="9" s="1"/>
  <c r="L89" i="9" s="1"/>
  <c r="M89" i="9" s="1"/>
  <c r="G85" i="5"/>
  <c r="Y76" i="5" s="1"/>
  <c r="D90" i="9" s="1"/>
  <c r="G84" i="5"/>
  <c r="G83" i="5"/>
  <c r="G82" i="5"/>
  <c r="G81" i="5"/>
  <c r="G80" i="5"/>
  <c r="G79" i="5"/>
  <c r="G78" i="5"/>
  <c r="G77" i="5"/>
  <c r="G76" i="5"/>
  <c r="D33" i="7" l="1"/>
  <c r="L86" i="9"/>
  <c r="L87" i="9"/>
  <c r="M87" i="9" s="1"/>
  <c r="P34" i="9"/>
  <c r="V11" i="9" s="1"/>
  <c r="X11" i="9" s="1"/>
  <c r="M76" i="9"/>
  <c r="B77" i="9"/>
  <c r="M77" i="9" s="1"/>
  <c r="D33" i="8"/>
  <c r="E26" i="8"/>
  <c r="E39" i="7"/>
  <c r="E28" i="7"/>
  <c r="S52" i="5"/>
  <c r="X61" i="5" s="1"/>
  <c r="B151" i="9" s="1"/>
  <c r="S69" i="5"/>
  <c r="AB58" i="5" s="1"/>
  <c r="J140" i="9" s="1"/>
  <c r="S68" i="5"/>
  <c r="AA58" i="5" s="1"/>
  <c r="H140" i="9" s="1"/>
  <c r="S67" i="5"/>
  <c r="Z58" i="5" s="1"/>
  <c r="F141" i="9" s="1"/>
  <c r="S66" i="5"/>
  <c r="Y58" i="5" s="1"/>
  <c r="D141" i="9" s="1"/>
  <c r="S65" i="5"/>
  <c r="X58" i="5" s="1"/>
  <c r="B140" i="9" s="1"/>
  <c r="S64" i="5"/>
  <c r="AB59" i="5" s="1"/>
  <c r="K144" i="9" s="1"/>
  <c r="K153" i="9" s="1"/>
  <c r="K154" i="9" s="1"/>
  <c r="S63" i="5"/>
  <c r="AA59" i="5" s="1"/>
  <c r="H144" i="9" s="1"/>
  <c r="S62" i="5"/>
  <c r="Z59" i="5" s="1"/>
  <c r="F143" i="9" s="1"/>
  <c r="S61" i="5"/>
  <c r="Y59" i="5" s="1"/>
  <c r="D144" i="9" s="1"/>
  <c r="S60" i="5"/>
  <c r="X59" i="5" s="1"/>
  <c r="B144" i="9" s="1"/>
  <c r="S59" i="5"/>
  <c r="AB60" i="5" s="1"/>
  <c r="J147" i="9" s="1"/>
  <c r="S58" i="5"/>
  <c r="AA60" i="5" s="1"/>
  <c r="H147" i="9" s="1"/>
  <c r="S57" i="5"/>
  <c r="Z60" i="5" s="1"/>
  <c r="F147" i="9" s="1"/>
  <c r="S56" i="5"/>
  <c r="Y60" i="5" s="1"/>
  <c r="D147" i="9" s="1"/>
  <c r="S55" i="5"/>
  <c r="X60" i="5" s="1"/>
  <c r="B146" i="9" s="1"/>
  <c r="S54" i="5"/>
  <c r="Z61" i="5" s="1"/>
  <c r="F150" i="9" s="1"/>
  <c r="S53" i="5"/>
  <c r="Y61" i="5" s="1"/>
  <c r="D150" i="9" s="1"/>
  <c r="F153" i="9" l="1"/>
  <c r="F154" i="9" s="1"/>
  <c r="P76" i="9"/>
  <c r="V10" i="9" s="1"/>
  <c r="X10" i="9" s="1"/>
  <c r="H153" i="9"/>
  <c r="H154" i="9" s="1"/>
  <c r="M86" i="9"/>
  <c r="B153" i="9"/>
  <c r="J153" i="9"/>
  <c r="J154" i="9" s="1"/>
  <c r="D153" i="9"/>
  <c r="D154" i="9" s="1"/>
  <c r="E27" i="8"/>
  <c r="E38" i="8"/>
  <c r="E40" i="7"/>
  <c r="E29" i="7"/>
  <c r="S46" i="5"/>
  <c r="AB35" i="5" s="1"/>
  <c r="J178" i="9" s="1"/>
  <c r="S45" i="5"/>
  <c r="AA35" i="5" s="1"/>
  <c r="H178" i="9" s="1"/>
  <c r="S44" i="5"/>
  <c r="Z35" i="5" s="1"/>
  <c r="F179" i="9" s="1"/>
  <c r="S43" i="5"/>
  <c r="Y35" i="5" s="1"/>
  <c r="D179" i="9" s="1"/>
  <c r="S42" i="5"/>
  <c r="X35" i="5" s="1"/>
  <c r="B178" i="9" s="1"/>
  <c r="S41" i="5"/>
  <c r="AB36" i="5" s="1"/>
  <c r="K182" i="9" s="1"/>
  <c r="K191" i="9" s="1"/>
  <c r="K192" i="9" s="1"/>
  <c r="S40" i="5"/>
  <c r="AA36" i="5" s="1"/>
  <c r="H182" i="9" s="1"/>
  <c r="S39" i="5"/>
  <c r="Z36" i="5" s="1"/>
  <c r="F181" i="9" s="1"/>
  <c r="S38" i="5"/>
  <c r="Y36" i="5" s="1"/>
  <c r="D182" i="9" s="1"/>
  <c r="S37" i="5"/>
  <c r="X36" i="5" s="1"/>
  <c r="B182" i="9" s="1"/>
  <c r="S36" i="5"/>
  <c r="AB37" i="5" s="1"/>
  <c r="J185" i="9" s="1"/>
  <c r="S35" i="5"/>
  <c r="AA37" i="5" s="1"/>
  <c r="H185" i="9" s="1"/>
  <c r="S34" i="5"/>
  <c r="Z37" i="5" s="1"/>
  <c r="F185" i="9" s="1"/>
  <c r="S33" i="5"/>
  <c r="Y37" i="5" s="1"/>
  <c r="D185" i="9" s="1"/>
  <c r="S32" i="5"/>
  <c r="X37" i="5" s="1"/>
  <c r="B184" i="9" s="1"/>
  <c r="S31" i="5"/>
  <c r="Z38" i="5" s="1"/>
  <c r="F188" i="9" s="1"/>
  <c r="S30" i="5"/>
  <c r="Y38" i="5" s="1"/>
  <c r="D188" i="9" s="1"/>
  <c r="S29" i="5"/>
  <c r="X38" i="5" s="1"/>
  <c r="B189" i="9" s="1"/>
  <c r="Q40" i="5"/>
  <c r="J191" i="9" l="1"/>
  <c r="J192" i="9" s="1"/>
  <c r="H191" i="9"/>
  <c r="H192" i="9" s="1"/>
  <c r="D191" i="9"/>
  <c r="D192" i="9" s="1"/>
  <c r="M153" i="9"/>
  <c r="B154" i="9"/>
  <c r="M154" i="9" s="1"/>
  <c r="B191" i="9"/>
  <c r="F191" i="9"/>
  <c r="F192" i="9" s="1"/>
  <c r="E39" i="8"/>
  <c r="E28" i="8"/>
  <c r="E41" i="7"/>
  <c r="E30" i="7"/>
  <c r="S23" i="5"/>
  <c r="AB12" i="5" s="1"/>
  <c r="J216" i="9" s="1"/>
  <c r="S18" i="5"/>
  <c r="AB13" i="5" s="1"/>
  <c r="K220" i="9" s="1"/>
  <c r="K229" i="9" s="1"/>
  <c r="K230" i="9" s="1"/>
  <c r="S10" i="5"/>
  <c r="Y14" i="5" s="1"/>
  <c r="D223" i="9" s="1"/>
  <c r="S19" i="5"/>
  <c r="X12" i="5" s="1"/>
  <c r="B216" i="9" s="1"/>
  <c r="S15" i="5"/>
  <c r="Y13" i="5" s="1"/>
  <c r="D220" i="9" s="1"/>
  <c r="S11" i="5"/>
  <c r="Z14" i="5" s="1"/>
  <c r="F223" i="9" s="1"/>
  <c r="S9" i="5"/>
  <c r="X14" i="5" s="1"/>
  <c r="B222" i="9" s="1"/>
  <c r="S8" i="5"/>
  <c r="Z15" i="5" s="1"/>
  <c r="F226" i="9" s="1"/>
  <c r="S16" i="5"/>
  <c r="Z13" i="5" s="1"/>
  <c r="F219" i="9" s="1"/>
  <c r="S14" i="5"/>
  <c r="X13" i="5" s="1"/>
  <c r="B220" i="9" s="1"/>
  <c r="S13" i="5"/>
  <c r="AB14" i="5" s="1"/>
  <c r="J223" i="9" s="1"/>
  <c r="S7" i="5"/>
  <c r="Y15" i="5" s="1"/>
  <c r="D226" i="9" s="1"/>
  <c r="P153" i="9" l="1"/>
  <c r="V8" i="9" s="1"/>
  <c r="X8" i="9" s="1"/>
  <c r="J229" i="9"/>
  <c r="J230" i="9" s="1"/>
  <c r="M191" i="9"/>
  <c r="B192" i="9"/>
  <c r="M192" i="9" s="1"/>
  <c r="E29" i="8"/>
  <c r="E40" i="8"/>
  <c r="E42" i="7"/>
  <c r="E31" i="7"/>
  <c r="E33" i="7" s="1"/>
  <c r="S21" i="5"/>
  <c r="Z12" i="5" s="1"/>
  <c r="F217" i="9" s="1"/>
  <c r="F229" i="9" s="1"/>
  <c r="F230" i="9" s="1"/>
  <c r="S20" i="5"/>
  <c r="Y12" i="5" s="1"/>
  <c r="D217" i="9" s="1"/>
  <c r="D229" i="9" s="1"/>
  <c r="D230" i="9" s="1"/>
  <c r="S22" i="5"/>
  <c r="AA12" i="5" s="1"/>
  <c r="H216" i="9" s="1"/>
  <c r="S17" i="5"/>
  <c r="AA13" i="5" s="1"/>
  <c r="H220" i="9" s="1"/>
  <c r="S12" i="5"/>
  <c r="S6" i="5"/>
  <c r="X15" i="5" s="1"/>
  <c r="B227" i="9" s="1"/>
  <c r="B229" i="9" s="1"/>
  <c r="T142" i="5"/>
  <c r="U141" i="5"/>
  <c r="R141" i="5"/>
  <c r="Q141" i="5"/>
  <c r="U140" i="5"/>
  <c r="R140" i="5"/>
  <c r="Q140" i="5"/>
  <c r="U139" i="5"/>
  <c r="R139" i="5"/>
  <c r="Q139" i="5"/>
  <c r="U138" i="5"/>
  <c r="R138" i="5"/>
  <c r="Q138" i="5"/>
  <c r="U137" i="5"/>
  <c r="R137" i="5"/>
  <c r="Q137" i="5"/>
  <c r="U136" i="5"/>
  <c r="R136" i="5"/>
  <c r="Q136" i="5"/>
  <c r="U135" i="5"/>
  <c r="R135" i="5"/>
  <c r="Q135" i="5"/>
  <c r="U134" i="5"/>
  <c r="R134" i="5"/>
  <c r="Q134" i="5"/>
  <c r="U133" i="5"/>
  <c r="R133" i="5"/>
  <c r="Q133" i="5"/>
  <c r="U132" i="5"/>
  <c r="R132" i="5"/>
  <c r="Q132" i="5"/>
  <c r="U131" i="5"/>
  <c r="R131" i="5"/>
  <c r="Q131" i="5"/>
  <c r="U130" i="5"/>
  <c r="R130" i="5"/>
  <c r="Q130" i="5"/>
  <c r="U129" i="5"/>
  <c r="R129" i="5"/>
  <c r="Q129" i="5"/>
  <c r="U128" i="5"/>
  <c r="R128" i="5"/>
  <c r="Q128" i="5"/>
  <c r="U127" i="5"/>
  <c r="R127" i="5"/>
  <c r="Q127" i="5"/>
  <c r="U126" i="5"/>
  <c r="R126" i="5"/>
  <c r="Q126" i="5"/>
  <c r="U125" i="5"/>
  <c r="R125" i="5"/>
  <c r="Q125" i="5"/>
  <c r="R124" i="5"/>
  <c r="Q124" i="5"/>
  <c r="T118" i="5"/>
  <c r="U117" i="5"/>
  <c r="R117" i="5"/>
  <c r="Q117" i="5"/>
  <c r="U116" i="5"/>
  <c r="R116" i="5"/>
  <c r="Q116" i="5"/>
  <c r="U115" i="5"/>
  <c r="R115" i="5"/>
  <c r="Q115" i="5"/>
  <c r="U114" i="5"/>
  <c r="R114" i="5"/>
  <c r="Q114" i="5"/>
  <c r="U113" i="5"/>
  <c r="R113" i="5"/>
  <c r="Q113" i="5"/>
  <c r="U112" i="5"/>
  <c r="R112" i="5"/>
  <c r="Q112" i="5"/>
  <c r="U111" i="5"/>
  <c r="R111" i="5"/>
  <c r="Q111" i="5"/>
  <c r="U110" i="5"/>
  <c r="R110" i="5"/>
  <c r="Q110" i="5"/>
  <c r="U109" i="5"/>
  <c r="R109" i="5"/>
  <c r="Q109" i="5"/>
  <c r="U108" i="5"/>
  <c r="R108" i="5"/>
  <c r="Q108" i="5"/>
  <c r="U107" i="5"/>
  <c r="R107" i="5"/>
  <c r="Q107" i="5"/>
  <c r="U106" i="5"/>
  <c r="R106" i="5"/>
  <c r="Q106" i="5"/>
  <c r="U105" i="5"/>
  <c r="R105" i="5"/>
  <c r="Q105" i="5"/>
  <c r="U104" i="5"/>
  <c r="R104" i="5"/>
  <c r="Q104" i="5"/>
  <c r="U103" i="5"/>
  <c r="R103" i="5"/>
  <c r="Q103" i="5"/>
  <c r="U102" i="5"/>
  <c r="R102" i="5"/>
  <c r="Q102" i="5"/>
  <c r="U101" i="5"/>
  <c r="R101" i="5"/>
  <c r="Q101" i="5"/>
  <c r="U118" i="5"/>
  <c r="R100" i="5"/>
  <c r="Q100" i="5"/>
  <c r="T94" i="5"/>
  <c r="S93" i="5"/>
  <c r="R93" i="5"/>
  <c r="Q93" i="5"/>
  <c r="S92" i="5"/>
  <c r="R92" i="5"/>
  <c r="Q92" i="5"/>
  <c r="S91" i="5"/>
  <c r="R91" i="5"/>
  <c r="Q91" i="5"/>
  <c r="S90" i="5"/>
  <c r="R90" i="5"/>
  <c r="Q90" i="5"/>
  <c r="S89" i="5"/>
  <c r="R89" i="5"/>
  <c r="Q89" i="5"/>
  <c r="S88" i="5"/>
  <c r="R88" i="5"/>
  <c r="Q88" i="5"/>
  <c r="S87" i="5"/>
  <c r="R87" i="5"/>
  <c r="Q87" i="5"/>
  <c r="S86" i="5"/>
  <c r="R86" i="5"/>
  <c r="Q86" i="5"/>
  <c r="S85" i="5"/>
  <c r="R85" i="5"/>
  <c r="Q85" i="5"/>
  <c r="S84" i="5"/>
  <c r="R84" i="5"/>
  <c r="Q84" i="5"/>
  <c r="S83" i="5"/>
  <c r="R83" i="5"/>
  <c r="Q83" i="5"/>
  <c r="S82" i="5"/>
  <c r="R82" i="5"/>
  <c r="Q82" i="5"/>
  <c r="S81" i="5"/>
  <c r="R81" i="5"/>
  <c r="Q81" i="5"/>
  <c r="S80" i="5"/>
  <c r="R80" i="5"/>
  <c r="Q80" i="5"/>
  <c r="S79" i="5"/>
  <c r="R79" i="5"/>
  <c r="Q79" i="5"/>
  <c r="S78" i="5"/>
  <c r="R78" i="5"/>
  <c r="Q78" i="5"/>
  <c r="S77" i="5"/>
  <c r="R77" i="5"/>
  <c r="Q77" i="5"/>
  <c r="S76" i="5"/>
  <c r="X85" i="5" s="1"/>
  <c r="B113" i="9" s="1"/>
  <c r="R76" i="5"/>
  <c r="Q76" i="5"/>
  <c r="T70" i="5"/>
  <c r="U69" i="5"/>
  <c r="R69" i="5"/>
  <c r="Q69" i="5"/>
  <c r="U68" i="5"/>
  <c r="R68" i="5"/>
  <c r="Q68" i="5"/>
  <c r="U67" i="5"/>
  <c r="R67" i="5"/>
  <c r="Q67" i="5"/>
  <c r="U66" i="5"/>
  <c r="R66" i="5"/>
  <c r="Q66" i="5"/>
  <c r="U65" i="5"/>
  <c r="R65" i="5"/>
  <c r="Q65" i="5"/>
  <c r="U64" i="5"/>
  <c r="R64" i="5"/>
  <c r="Q64" i="5"/>
  <c r="U63" i="5"/>
  <c r="R63" i="5"/>
  <c r="Q63" i="5"/>
  <c r="U62" i="5"/>
  <c r="R62" i="5"/>
  <c r="Q62" i="5"/>
  <c r="U61" i="5"/>
  <c r="R61" i="5"/>
  <c r="Q61" i="5"/>
  <c r="U60" i="5"/>
  <c r="R60" i="5"/>
  <c r="Q60" i="5"/>
  <c r="U59" i="5"/>
  <c r="R59" i="5"/>
  <c r="Q59" i="5"/>
  <c r="U58" i="5"/>
  <c r="R58" i="5"/>
  <c r="Q58" i="5"/>
  <c r="U57" i="5"/>
  <c r="R57" i="5"/>
  <c r="Q57" i="5"/>
  <c r="U56" i="5"/>
  <c r="R56" i="5"/>
  <c r="Q56" i="5"/>
  <c r="U55" i="5"/>
  <c r="R55" i="5"/>
  <c r="Q55" i="5"/>
  <c r="U54" i="5"/>
  <c r="R54" i="5"/>
  <c r="Q54" i="5"/>
  <c r="U53" i="5"/>
  <c r="R53" i="5"/>
  <c r="Q53" i="5"/>
  <c r="U70" i="5"/>
  <c r="R52" i="5"/>
  <c r="Q52" i="5"/>
  <c r="E52" i="5"/>
  <c r="F52" i="5"/>
  <c r="G52" i="5"/>
  <c r="I52" i="5" s="1"/>
  <c r="X54" i="5" s="1"/>
  <c r="B135" i="9" s="1"/>
  <c r="L135" i="9" s="1"/>
  <c r="M135" i="9" s="1"/>
  <c r="E53" i="5"/>
  <c r="F53" i="5"/>
  <c r="G53" i="5"/>
  <c r="I53" i="5" s="1"/>
  <c r="Y54" i="5" s="1"/>
  <c r="D134" i="9" s="1"/>
  <c r="E54" i="5"/>
  <c r="F54" i="5"/>
  <c r="G54" i="5"/>
  <c r="I54" i="5" s="1"/>
  <c r="Z54" i="5" s="1"/>
  <c r="F134" i="9" s="1"/>
  <c r="E55" i="5"/>
  <c r="F55" i="5"/>
  <c r="G55" i="5"/>
  <c r="I55" i="5" s="1"/>
  <c r="X53" i="5" s="1"/>
  <c r="B130" i="9" s="1"/>
  <c r="L130" i="9" s="1"/>
  <c r="M130" i="9" s="1"/>
  <c r="E56" i="5"/>
  <c r="F56" i="5"/>
  <c r="G56" i="5"/>
  <c r="I56" i="5" s="1"/>
  <c r="Y53" i="5" s="1"/>
  <c r="D131" i="9" s="1"/>
  <c r="E57" i="5"/>
  <c r="F57" i="5"/>
  <c r="G57" i="5"/>
  <c r="I57" i="5" s="1"/>
  <c r="Z53" i="5" s="1"/>
  <c r="F131" i="9" s="1"/>
  <c r="E58" i="5"/>
  <c r="F58" i="5"/>
  <c r="G58" i="5"/>
  <c r="I58" i="5" s="1"/>
  <c r="AA53" i="5" s="1"/>
  <c r="H131" i="9" s="1"/>
  <c r="E59" i="5"/>
  <c r="F59" i="5"/>
  <c r="G59" i="5"/>
  <c r="I59" i="5" s="1"/>
  <c r="AB53" i="5" s="1"/>
  <c r="J131" i="9" s="1"/>
  <c r="E60" i="5"/>
  <c r="F60" i="5"/>
  <c r="G60" i="5"/>
  <c r="I60" i="5" s="1"/>
  <c r="X52" i="5" s="1"/>
  <c r="B128" i="9" s="1"/>
  <c r="E61" i="5"/>
  <c r="F61" i="5"/>
  <c r="G61" i="5"/>
  <c r="Y52" i="5" s="1"/>
  <c r="D127" i="9" s="1"/>
  <c r="E62" i="5"/>
  <c r="F62" i="5"/>
  <c r="G62" i="5"/>
  <c r="Z52" i="5" s="1"/>
  <c r="F127" i="9" s="1"/>
  <c r="E63" i="5"/>
  <c r="F63" i="5"/>
  <c r="G63" i="5"/>
  <c r="AA52" i="5" s="1"/>
  <c r="H128" i="9" s="1"/>
  <c r="E64" i="5"/>
  <c r="F64" i="5"/>
  <c r="G64" i="5"/>
  <c r="AB52" i="5" s="1"/>
  <c r="K128" i="9" s="1"/>
  <c r="E65" i="5"/>
  <c r="F65" i="5"/>
  <c r="G65" i="5"/>
  <c r="X51" i="5" s="1"/>
  <c r="B124" i="9" s="1"/>
  <c r="E66" i="5"/>
  <c r="F66" i="5"/>
  <c r="G66" i="5"/>
  <c r="Y51" i="5" s="1"/>
  <c r="D125" i="9" s="1"/>
  <c r="E67" i="5"/>
  <c r="F67" i="5"/>
  <c r="G67" i="5"/>
  <c r="Z51" i="5" s="1"/>
  <c r="F125" i="9" s="1"/>
  <c r="E68" i="5"/>
  <c r="F68" i="5"/>
  <c r="G68" i="5"/>
  <c r="AA51" i="5" s="1"/>
  <c r="H124" i="9" s="1"/>
  <c r="E69" i="5"/>
  <c r="F69" i="5"/>
  <c r="G69" i="5"/>
  <c r="AB51" i="5" s="1"/>
  <c r="J124" i="9" s="1"/>
  <c r="H70" i="5"/>
  <c r="T47" i="5"/>
  <c r="U46" i="5"/>
  <c r="R46" i="5"/>
  <c r="Q46" i="5"/>
  <c r="U45" i="5"/>
  <c r="R45" i="5"/>
  <c r="Q45" i="5"/>
  <c r="U44" i="5"/>
  <c r="R44" i="5"/>
  <c r="Q44" i="5"/>
  <c r="U43" i="5"/>
  <c r="R43" i="5"/>
  <c r="Q43" i="5"/>
  <c r="U42" i="5"/>
  <c r="R42" i="5"/>
  <c r="Q42" i="5"/>
  <c r="U41" i="5"/>
  <c r="R41" i="5"/>
  <c r="Q41" i="5"/>
  <c r="U40" i="5"/>
  <c r="R40" i="5"/>
  <c r="U39" i="5"/>
  <c r="R39" i="5"/>
  <c r="Q39" i="5"/>
  <c r="U38" i="5"/>
  <c r="R38" i="5"/>
  <c r="Q38" i="5"/>
  <c r="U37" i="5"/>
  <c r="R37" i="5"/>
  <c r="Q37" i="5"/>
  <c r="U36" i="5"/>
  <c r="R36" i="5"/>
  <c r="Q36" i="5"/>
  <c r="U35" i="5"/>
  <c r="R35" i="5"/>
  <c r="Q35" i="5"/>
  <c r="U34" i="5"/>
  <c r="R34" i="5"/>
  <c r="Q34" i="5"/>
  <c r="U33" i="5"/>
  <c r="R33" i="5"/>
  <c r="Q33" i="5"/>
  <c r="U32" i="5"/>
  <c r="R32" i="5"/>
  <c r="Q32" i="5"/>
  <c r="U31" i="5"/>
  <c r="R31" i="5"/>
  <c r="Q31" i="5"/>
  <c r="U30" i="5"/>
  <c r="R30" i="5"/>
  <c r="Q30" i="5"/>
  <c r="U47" i="5"/>
  <c r="R29" i="5"/>
  <c r="Q29" i="5"/>
  <c r="T24" i="5"/>
  <c r="U23" i="5"/>
  <c r="R23" i="5"/>
  <c r="Q23" i="5"/>
  <c r="R22" i="5"/>
  <c r="Q22" i="5"/>
  <c r="R21" i="5"/>
  <c r="Q21" i="5"/>
  <c r="R20" i="5"/>
  <c r="Q20" i="5"/>
  <c r="U19" i="5"/>
  <c r="R19" i="5"/>
  <c r="Q19" i="5"/>
  <c r="U18" i="5"/>
  <c r="R18" i="5"/>
  <c r="Q18" i="5"/>
  <c r="R17" i="5"/>
  <c r="Q17" i="5"/>
  <c r="U16" i="5"/>
  <c r="R16" i="5"/>
  <c r="Q16" i="5"/>
  <c r="U15" i="5"/>
  <c r="R15" i="5"/>
  <c r="Q15" i="5"/>
  <c r="U14" i="5"/>
  <c r="R14" i="5"/>
  <c r="Q14" i="5"/>
  <c r="U13" i="5"/>
  <c r="R13" i="5"/>
  <c r="Q13" i="5"/>
  <c r="R12" i="5"/>
  <c r="Q12" i="5"/>
  <c r="U11" i="5"/>
  <c r="R11" i="5"/>
  <c r="Q11" i="5"/>
  <c r="U10" i="5"/>
  <c r="R10" i="5"/>
  <c r="Q10" i="5"/>
  <c r="U9" i="5"/>
  <c r="R9" i="5"/>
  <c r="Q9" i="5"/>
  <c r="U8" i="5"/>
  <c r="R8" i="5"/>
  <c r="Q8" i="5"/>
  <c r="U7" i="5"/>
  <c r="R7" i="5"/>
  <c r="Q7" i="5"/>
  <c r="R6" i="5"/>
  <c r="Q6" i="5"/>
  <c r="G141" i="5"/>
  <c r="AB123" i="5" s="1"/>
  <c r="J5" i="9" s="1"/>
  <c r="G140" i="5"/>
  <c r="AA123" i="5" s="1"/>
  <c r="H5" i="9" s="1"/>
  <c r="G139" i="5"/>
  <c r="Z123" i="5" s="1"/>
  <c r="F6" i="9" s="1"/>
  <c r="G138" i="5"/>
  <c r="Y123" i="5" s="1"/>
  <c r="D6" i="9" s="1"/>
  <c r="G135" i="5"/>
  <c r="AA124" i="5" s="1"/>
  <c r="H9" i="9" s="1"/>
  <c r="G134" i="5"/>
  <c r="Z124" i="5" s="1"/>
  <c r="F8" i="9" s="1"/>
  <c r="L8" i="9" s="1"/>
  <c r="M8" i="9" s="1"/>
  <c r="G133" i="5"/>
  <c r="Y124" i="5" s="1"/>
  <c r="D9" i="9" s="1"/>
  <c r="G132" i="5"/>
  <c r="G131" i="5"/>
  <c r="G130" i="5"/>
  <c r="G129" i="5"/>
  <c r="G128" i="5"/>
  <c r="G127" i="5"/>
  <c r="G126" i="5"/>
  <c r="G125" i="5"/>
  <c r="G124" i="5"/>
  <c r="P191" i="9" l="1"/>
  <c r="V7" i="9" s="1"/>
  <c r="X7" i="9" s="1"/>
  <c r="L6" i="9"/>
  <c r="M6" i="9" s="1"/>
  <c r="L128" i="9"/>
  <c r="M128" i="9" s="1"/>
  <c r="U17" i="5"/>
  <c r="U22" i="5"/>
  <c r="I69" i="5"/>
  <c r="I68" i="5"/>
  <c r="I67" i="5"/>
  <c r="I66" i="5"/>
  <c r="I65" i="5"/>
  <c r="I64" i="5"/>
  <c r="I63" i="5"/>
  <c r="I62" i="5"/>
  <c r="I61" i="5"/>
  <c r="L134" i="9"/>
  <c r="M134" i="9" s="1"/>
  <c r="U77" i="5"/>
  <c r="Y85" i="5"/>
  <c r="D112" i="9" s="1"/>
  <c r="U81" i="5"/>
  <c r="Z84" i="5"/>
  <c r="F109" i="9" s="1"/>
  <c r="U85" i="5"/>
  <c r="Y83" i="5"/>
  <c r="D106" i="9" s="1"/>
  <c r="U89" i="5"/>
  <c r="X82" i="5"/>
  <c r="B102" i="9" s="1"/>
  <c r="U93" i="5"/>
  <c r="AB82" i="5"/>
  <c r="J102" i="9" s="1"/>
  <c r="K151" i="5"/>
  <c r="F151" i="5"/>
  <c r="D34" i="15" s="1"/>
  <c r="E34" i="15" s="1"/>
  <c r="L131" i="9"/>
  <c r="M131" i="9" s="1"/>
  <c r="L125" i="9"/>
  <c r="M125" i="9" s="1"/>
  <c r="L124" i="9"/>
  <c r="L127" i="9"/>
  <c r="M127" i="9" s="1"/>
  <c r="U80" i="5"/>
  <c r="Y84" i="5"/>
  <c r="D109" i="9" s="1"/>
  <c r="U84" i="5"/>
  <c r="X83" i="5"/>
  <c r="B106" i="9" s="1"/>
  <c r="U88" i="5"/>
  <c r="AB83" i="5"/>
  <c r="K106" i="9" s="1"/>
  <c r="K115" i="9" s="1"/>
  <c r="K116" i="9" s="1"/>
  <c r="U92" i="5"/>
  <c r="AA82" i="5"/>
  <c r="H102" i="9" s="1"/>
  <c r="K148" i="5"/>
  <c r="F148" i="5"/>
  <c r="D31" i="15" s="1"/>
  <c r="E31" i="15" s="1"/>
  <c r="I70" i="5"/>
  <c r="K149" i="5"/>
  <c r="F149" i="5"/>
  <c r="D32" i="15" s="1"/>
  <c r="E32" i="15" s="1"/>
  <c r="U79" i="5"/>
  <c r="X84" i="5"/>
  <c r="B108" i="9" s="1"/>
  <c r="U83" i="5"/>
  <c r="AB84" i="5"/>
  <c r="J109" i="9" s="1"/>
  <c r="U87" i="5"/>
  <c r="AA83" i="5"/>
  <c r="H106" i="9" s="1"/>
  <c r="U91" i="5"/>
  <c r="Z82" i="5"/>
  <c r="F103" i="9" s="1"/>
  <c r="B230" i="9"/>
  <c r="L5" i="9"/>
  <c r="U78" i="5"/>
  <c r="Z85" i="5"/>
  <c r="F112" i="9" s="1"/>
  <c r="U82" i="5"/>
  <c r="AA84" i="5"/>
  <c r="H109" i="9" s="1"/>
  <c r="U86" i="5"/>
  <c r="Z83" i="5"/>
  <c r="F105" i="9" s="1"/>
  <c r="U90" i="5"/>
  <c r="Y82" i="5"/>
  <c r="D103" i="9" s="1"/>
  <c r="U21" i="5"/>
  <c r="U12" i="5"/>
  <c r="AA14" i="5"/>
  <c r="H223" i="9" s="1"/>
  <c r="H229" i="9" s="1"/>
  <c r="U20" i="5"/>
  <c r="E41" i="8"/>
  <c r="E30" i="8"/>
  <c r="E43" i="7"/>
  <c r="U142" i="5"/>
  <c r="U94" i="5"/>
  <c r="U24" i="5"/>
  <c r="U124" i="5"/>
  <c r="U100" i="5"/>
  <c r="U76" i="5"/>
  <c r="U52" i="5"/>
  <c r="U29" i="5"/>
  <c r="U6" i="5"/>
  <c r="G117" i="5"/>
  <c r="AB99" i="5" s="1"/>
  <c r="J47" i="9" s="1"/>
  <c r="G116" i="5"/>
  <c r="AA99" i="5" s="1"/>
  <c r="H47" i="9" s="1"/>
  <c r="G115" i="5"/>
  <c r="G114" i="5"/>
  <c r="G113" i="5"/>
  <c r="G112" i="5"/>
  <c r="AB100" i="5" s="1"/>
  <c r="K51" i="9" s="1"/>
  <c r="G111" i="5"/>
  <c r="AA100" i="5" s="1"/>
  <c r="H51" i="9" s="1"/>
  <c r="G110" i="5"/>
  <c r="Z100" i="5" s="1"/>
  <c r="F50" i="9" s="1"/>
  <c r="L50" i="9" s="1"/>
  <c r="M50" i="9" s="1"/>
  <c r="G109" i="5"/>
  <c r="G108" i="5"/>
  <c r="I108" i="5" s="1"/>
  <c r="X100" i="5" s="1"/>
  <c r="B51" i="9" s="1"/>
  <c r="G107" i="5"/>
  <c r="I107" i="5" s="1"/>
  <c r="AB101" i="5" s="1"/>
  <c r="J54" i="9" s="1"/>
  <c r="G106" i="5"/>
  <c r="I106" i="5" s="1"/>
  <c r="AA101" i="5" s="1"/>
  <c r="H54" i="9" s="1"/>
  <c r="G105" i="5"/>
  <c r="I105" i="5" s="1"/>
  <c r="Z101" i="5" s="1"/>
  <c r="F54" i="9" s="1"/>
  <c r="G104" i="5"/>
  <c r="I104" i="5" s="1"/>
  <c r="Y101" i="5" s="1"/>
  <c r="D54" i="9" s="1"/>
  <c r="G103" i="5"/>
  <c r="I103" i="5" s="1"/>
  <c r="X101" i="5" s="1"/>
  <c r="B53" i="9" s="1"/>
  <c r="L53" i="9" s="1"/>
  <c r="M53" i="9" s="1"/>
  <c r="G102" i="5"/>
  <c r="I102" i="5" s="1"/>
  <c r="Z102" i="5" s="1"/>
  <c r="F57" i="9" s="1"/>
  <c r="G101" i="5"/>
  <c r="I101" i="5" s="1"/>
  <c r="Y102" i="5" s="1"/>
  <c r="D57" i="9" s="1"/>
  <c r="G100" i="5"/>
  <c r="H142" i="5"/>
  <c r="I141" i="5"/>
  <c r="F141" i="5"/>
  <c r="E141" i="5"/>
  <c r="I140" i="5"/>
  <c r="F140" i="5"/>
  <c r="E140" i="5"/>
  <c r="I139" i="5"/>
  <c r="F139" i="5"/>
  <c r="E139" i="5"/>
  <c r="I138" i="5"/>
  <c r="F138" i="5"/>
  <c r="E138" i="5"/>
  <c r="I137" i="5"/>
  <c r="F137" i="5"/>
  <c r="E137" i="5"/>
  <c r="I136" i="5"/>
  <c r="F136" i="5"/>
  <c r="E136" i="5"/>
  <c r="I135" i="5"/>
  <c r="F135" i="5"/>
  <c r="E135" i="5"/>
  <c r="I134" i="5"/>
  <c r="F134" i="5"/>
  <c r="E134" i="5"/>
  <c r="I133" i="5"/>
  <c r="F133" i="5"/>
  <c r="E133" i="5"/>
  <c r="I132" i="5"/>
  <c r="X124" i="5" s="1"/>
  <c r="B9" i="9" s="1"/>
  <c r="L9" i="9" s="1"/>
  <c r="M9" i="9" s="1"/>
  <c r="F132" i="5"/>
  <c r="E132" i="5"/>
  <c r="I131" i="5"/>
  <c r="AB125" i="5" s="1"/>
  <c r="J12" i="9" s="1"/>
  <c r="F131" i="5"/>
  <c r="E131" i="5"/>
  <c r="I130" i="5"/>
  <c r="AA125" i="5" s="1"/>
  <c r="H12" i="9" s="1"/>
  <c r="F130" i="5"/>
  <c r="E130" i="5"/>
  <c r="I129" i="5"/>
  <c r="Z125" i="5" s="1"/>
  <c r="F12" i="9" s="1"/>
  <c r="F129" i="5"/>
  <c r="E129" i="5"/>
  <c r="I128" i="5"/>
  <c r="Y125" i="5" s="1"/>
  <c r="D12" i="9" s="1"/>
  <c r="F128" i="5"/>
  <c r="E128" i="5"/>
  <c r="I127" i="5"/>
  <c r="X125" i="5" s="1"/>
  <c r="B11" i="9" s="1"/>
  <c r="L11" i="9" s="1"/>
  <c r="M11" i="9" s="1"/>
  <c r="F127" i="5"/>
  <c r="E127" i="5"/>
  <c r="I126" i="5"/>
  <c r="Z126" i="5" s="1"/>
  <c r="F15" i="9" s="1"/>
  <c r="F126" i="5"/>
  <c r="E126" i="5"/>
  <c r="I125" i="5"/>
  <c r="Y126" i="5" s="1"/>
  <c r="D15" i="9" s="1"/>
  <c r="F125" i="5"/>
  <c r="E125" i="5"/>
  <c r="F124" i="5"/>
  <c r="E124" i="5"/>
  <c r="H118" i="5"/>
  <c r="F117" i="5"/>
  <c r="E117" i="5"/>
  <c r="F116" i="5"/>
  <c r="E116" i="5"/>
  <c r="F115" i="5"/>
  <c r="E115" i="5"/>
  <c r="F114" i="5"/>
  <c r="E114" i="5"/>
  <c r="F113" i="5"/>
  <c r="E113" i="5"/>
  <c r="F112" i="5"/>
  <c r="E112" i="5"/>
  <c r="F111" i="5"/>
  <c r="E111" i="5"/>
  <c r="F110" i="5"/>
  <c r="E110" i="5"/>
  <c r="F109" i="5"/>
  <c r="E109" i="5"/>
  <c r="F108" i="5"/>
  <c r="E108" i="5"/>
  <c r="F107" i="5"/>
  <c r="E107" i="5"/>
  <c r="F106" i="5"/>
  <c r="E106" i="5"/>
  <c r="F105" i="5"/>
  <c r="E105" i="5"/>
  <c r="F104" i="5"/>
  <c r="E104" i="5"/>
  <c r="F103" i="5"/>
  <c r="E103" i="5"/>
  <c r="F102" i="5"/>
  <c r="E102" i="5"/>
  <c r="F101" i="5"/>
  <c r="E101" i="5"/>
  <c r="F100" i="5"/>
  <c r="E100" i="5"/>
  <c r="I116" i="5" l="1"/>
  <c r="D115" i="9"/>
  <c r="D116" i="9" s="1"/>
  <c r="G17" i="17"/>
  <c r="G17" i="16"/>
  <c r="D55" i="15"/>
  <c r="G14" i="17"/>
  <c r="G14" i="16"/>
  <c r="D52" i="15"/>
  <c r="I112" i="5"/>
  <c r="G15" i="17"/>
  <c r="G15" i="16"/>
  <c r="D53" i="15"/>
  <c r="I110" i="5"/>
  <c r="L12" i="9"/>
  <c r="M12" i="9" s="1"/>
  <c r="I117" i="5"/>
  <c r="H230" i="9"/>
  <c r="M230" i="9" s="1"/>
  <c r="M229" i="9"/>
  <c r="I115" i="5"/>
  <c r="Z99" i="5"/>
  <c r="F48" i="9" s="1"/>
  <c r="D55" i="6"/>
  <c r="G17" i="8"/>
  <c r="F30" i="8" s="1"/>
  <c r="G17" i="7"/>
  <c r="L54" i="9"/>
  <c r="M54" i="9" s="1"/>
  <c r="U7" i="9"/>
  <c r="D31" i="6"/>
  <c r="E31" i="6" s="1"/>
  <c r="J115" i="9"/>
  <c r="J116" i="9" s="1"/>
  <c r="J149" i="5"/>
  <c r="E149" i="5"/>
  <c r="D7" i="15" s="1"/>
  <c r="E7" i="15" s="1"/>
  <c r="M124" i="9"/>
  <c r="M137" i="9" s="1"/>
  <c r="L137" i="9"/>
  <c r="I111" i="5"/>
  <c r="L57" i="9"/>
  <c r="M57" i="9" s="1"/>
  <c r="I109" i="5"/>
  <c r="Y100" i="5"/>
  <c r="D51" i="9" s="1"/>
  <c r="L51" i="9" s="1"/>
  <c r="M51" i="9" s="1"/>
  <c r="I113" i="5"/>
  <c r="X99" i="5"/>
  <c r="B47" i="9" s="1"/>
  <c r="L47" i="9" s="1"/>
  <c r="K150" i="5"/>
  <c r="F150" i="5"/>
  <c r="D33" i="15" s="1"/>
  <c r="E33" i="15" s="1"/>
  <c r="M5" i="9"/>
  <c r="F115" i="9"/>
  <c r="F116" i="9" s="1"/>
  <c r="U8" i="9"/>
  <c r="D32" i="6"/>
  <c r="E32" i="6" s="1"/>
  <c r="D52" i="6"/>
  <c r="G14" i="7"/>
  <c r="G14" i="8"/>
  <c r="F27" i="8" s="1"/>
  <c r="L15" i="9"/>
  <c r="M15" i="9" s="1"/>
  <c r="I114" i="5"/>
  <c r="Y99" i="5"/>
  <c r="D48" i="9" s="1"/>
  <c r="F152" i="5"/>
  <c r="D35" i="15" s="1"/>
  <c r="E35" i="15" s="1"/>
  <c r="K152" i="5"/>
  <c r="G15" i="7"/>
  <c r="D53" i="6"/>
  <c r="G15" i="8"/>
  <c r="F28" i="8" s="1"/>
  <c r="H115" i="9"/>
  <c r="H116" i="9" s="1"/>
  <c r="U10" i="9"/>
  <c r="D34" i="6"/>
  <c r="E34" i="6" s="1"/>
  <c r="B115" i="9"/>
  <c r="K147" i="5"/>
  <c r="F147" i="5"/>
  <c r="D30" i="15" s="1"/>
  <c r="E30" i="15" s="1"/>
  <c r="E31" i="8"/>
  <c r="E42" i="8"/>
  <c r="I142" i="5"/>
  <c r="I118" i="5"/>
  <c r="I124" i="5"/>
  <c r="X126" i="5" s="1"/>
  <c r="B16" i="9" s="1"/>
  <c r="L16" i="9" s="1"/>
  <c r="M16" i="9" s="1"/>
  <c r="I100" i="5"/>
  <c r="X102" i="5" s="1"/>
  <c r="B58" i="9" s="1"/>
  <c r="L58" i="9" s="1"/>
  <c r="M58" i="9" s="1"/>
  <c r="H94" i="5"/>
  <c r="I93" i="5"/>
  <c r="F93" i="5"/>
  <c r="E93" i="5"/>
  <c r="I92" i="5"/>
  <c r="F92" i="5"/>
  <c r="E92" i="5"/>
  <c r="I91" i="5"/>
  <c r="F91" i="5"/>
  <c r="E91" i="5"/>
  <c r="I90" i="5"/>
  <c r="F90" i="5"/>
  <c r="E90" i="5"/>
  <c r="I89" i="5"/>
  <c r="F89" i="5"/>
  <c r="E89" i="5"/>
  <c r="I88" i="5"/>
  <c r="F88" i="5"/>
  <c r="E88" i="5"/>
  <c r="I87" i="5"/>
  <c r="F87" i="5"/>
  <c r="E87" i="5"/>
  <c r="I86" i="5"/>
  <c r="F86" i="5"/>
  <c r="E86" i="5"/>
  <c r="I85" i="5"/>
  <c r="F85" i="5"/>
  <c r="E85" i="5"/>
  <c r="I84" i="5"/>
  <c r="X76" i="5" s="1"/>
  <c r="B90" i="9" s="1"/>
  <c r="L90" i="9" s="1"/>
  <c r="F84" i="5"/>
  <c r="E84" i="5"/>
  <c r="I83" i="5"/>
  <c r="AB77" i="5" s="1"/>
  <c r="J93" i="9" s="1"/>
  <c r="F83" i="5"/>
  <c r="E83" i="5"/>
  <c r="I82" i="5"/>
  <c r="AA77" i="5" s="1"/>
  <c r="H93" i="9" s="1"/>
  <c r="F82" i="5"/>
  <c r="E82" i="5"/>
  <c r="I81" i="5"/>
  <c r="Z77" i="5" s="1"/>
  <c r="F93" i="9" s="1"/>
  <c r="F81" i="5"/>
  <c r="E81" i="5"/>
  <c r="I80" i="5"/>
  <c r="Y77" i="5" s="1"/>
  <c r="D93" i="9" s="1"/>
  <c r="F80" i="5"/>
  <c r="E80" i="5"/>
  <c r="I79" i="5"/>
  <c r="X77" i="5" s="1"/>
  <c r="B92" i="9" s="1"/>
  <c r="L92" i="9" s="1"/>
  <c r="M92" i="9" s="1"/>
  <c r="F79" i="5"/>
  <c r="E79" i="5"/>
  <c r="I78" i="5"/>
  <c r="Z78" i="5" s="1"/>
  <c r="F96" i="9" s="1"/>
  <c r="F78" i="5"/>
  <c r="E78" i="5"/>
  <c r="I77" i="5"/>
  <c r="Y78" i="5" s="1"/>
  <c r="D96" i="9" s="1"/>
  <c r="F77" i="5"/>
  <c r="E77" i="5"/>
  <c r="I76" i="5"/>
  <c r="X78" i="5" s="1"/>
  <c r="B97" i="9" s="1"/>
  <c r="L97" i="9" s="1"/>
  <c r="M97" i="9" s="1"/>
  <c r="F76" i="5"/>
  <c r="E76" i="5"/>
  <c r="G18" i="16" l="1"/>
  <c r="G18" i="17"/>
  <c r="D56" i="15"/>
  <c r="G16" i="16"/>
  <c r="G16" i="17"/>
  <c r="D54" i="15"/>
  <c r="G13" i="16"/>
  <c r="G13" i="17"/>
  <c r="D51" i="15"/>
  <c r="F15" i="16"/>
  <c r="F28" i="16" s="1"/>
  <c r="F15" i="17"/>
  <c r="F28" i="17" s="1"/>
  <c r="B53" i="15"/>
  <c r="M18" i="9"/>
  <c r="P137" i="9"/>
  <c r="Y8" i="9" s="1"/>
  <c r="AA8" i="9" s="1"/>
  <c r="L96" i="9"/>
  <c r="M96" i="9" s="1"/>
  <c r="L48" i="9"/>
  <c r="M48" i="9" s="1"/>
  <c r="J151" i="5"/>
  <c r="E151" i="5"/>
  <c r="D9" i="15" s="1"/>
  <c r="E9" i="15" s="1"/>
  <c r="B116" i="9"/>
  <c r="M116" i="9" s="1"/>
  <c r="M115" i="9"/>
  <c r="D30" i="6"/>
  <c r="E30" i="6" s="1"/>
  <c r="U6" i="9"/>
  <c r="G16" i="8"/>
  <c r="F29" i="8" s="1"/>
  <c r="G16" i="7"/>
  <c r="D54" i="6"/>
  <c r="G18" i="8"/>
  <c r="F31" i="8" s="1"/>
  <c r="G18" i="7"/>
  <c r="D56" i="6"/>
  <c r="P229" i="9"/>
  <c r="V6" i="9" s="1"/>
  <c r="X6" i="9" s="1"/>
  <c r="L18" i="9"/>
  <c r="M47" i="9"/>
  <c r="T8" i="9"/>
  <c r="D7" i="6"/>
  <c r="E7" i="6" s="1"/>
  <c r="G28" i="8"/>
  <c r="F40" i="8"/>
  <c r="F50" i="8"/>
  <c r="F15" i="8"/>
  <c r="B53" i="6"/>
  <c r="F15" i="7"/>
  <c r="F28" i="7" s="1"/>
  <c r="L93" i="9"/>
  <c r="M93" i="9" s="1"/>
  <c r="M90" i="9"/>
  <c r="E152" i="5"/>
  <c r="D10" i="15" s="1"/>
  <c r="E10" i="15" s="1"/>
  <c r="J152" i="5"/>
  <c r="U11" i="9"/>
  <c r="D35" i="6"/>
  <c r="E35" i="6" s="1"/>
  <c r="G27" i="8"/>
  <c r="F39" i="8"/>
  <c r="F49" i="8"/>
  <c r="U9" i="9"/>
  <c r="D33" i="6"/>
  <c r="E33" i="6" s="1"/>
  <c r="G13" i="8"/>
  <c r="F26" i="8" s="1"/>
  <c r="G13" i="7"/>
  <c r="D51" i="6"/>
  <c r="E43" i="8"/>
  <c r="E33" i="8"/>
  <c r="G30" i="8"/>
  <c r="F52" i="8"/>
  <c r="F42" i="8"/>
  <c r="I94" i="5"/>
  <c r="G23" i="5"/>
  <c r="AB5" i="5" s="1"/>
  <c r="J200" i="9" s="1"/>
  <c r="G22" i="5"/>
  <c r="AA5" i="5" s="1"/>
  <c r="H200" i="9" s="1"/>
  <c r="G21" i="5"/>
  <c r="Z5" i="5" s="1"/>
  <c r="F201" i="9" s="1"/>
  <c r="G20" i="5"/>
  <c r="Y5" i="5" s="1"/>
  <c r="D201" i="9" s="1"/>
  <c r="G19" i="5"/>
  <c r="X5" i="5" s="1"/>
  <c r="B200" i="9" s="1"/>
  <c r="G18" i="5"/>
  <c r="AB6" i="5" s="1"/>
  <c r="K204" i="9" s="1"/>
  <c r="G17" i="5"/>
  <c r="AA6" i="5" s="1"/>
  <c r="H204" i="9" s="1"/>
  <c r="G16" i="5"/>
  <c r="Z6" i="5" s="1"/>
  <c r="F203" i="9" s="1"/>
  <c r="L203" i="9" s="1"/>
  <c r="M203" i="9" s="1"/>
  <c r="G15" i="5"/>
  <c r="Y6" i="5" s="1"/>
  <c r="D204" i="9" s="1"/>
  <c r="G14" i="5"/>
  <c r="G13" i="5"/>
  <c r="G12" i="5"/>
  <c r="G11" i="5"/>
  <c r="G10" i="5"/>
  <c r="G9" i="5"/>
  <c r="G8" i="5"/>
  <c r="G7" i="5"/>
  <c r="G6" i="5"/>
  <c r="H47" i="5"/>
  <c r="F46" i="5"/>
  <c r="E46" i="5"/>
  <c r="F45" i="5"/>
  <c r="E45" i="5"/>
  <c r="F44" i="5"/>
  <c r="E44" i="5"/>
  <c r="F43" i="5"/>
  <c r="E43" i="5"/>
  <c r="F42" i="5"/>
  <c r="E42" i="5"/>
  <c r="F41" i="5"/>
  <c r="E41" i="5"/>
  <c r="F40" i="5"/>
  <c r="E40" i="5"/>
  <c r="F39" i="5"/>
  <c r="E39" i="5"/>
  <c r="F38" i="5"/>
  <c r="E38" i="5"/>
  <c r="F37" i="5"/>
  <c r="E37" i="5"/>
  <c r="F36" i="5"/>
  <c r="E36" i="5"/>
  <c r="F35" i="5"/>
  <c r="E35" i="5"/>
  <c r="F34" i="5"/>
  <c r="E34" i="5"/>
  <c r="F33" i="5"/>
  <c r="E33" i="5"/>
  <c r="F32" i="5"/>
  <c r="E32" i="5"/>
  <c r="F31" i="5"/>
  <c r="E31" i="5"/>
  <c r="F30" i="5"/>
  <c r="E30" i="5"/>
  <c r="F29" i="5"/>
  <c r="E29" i="5"/>
  <c r="P18" i="9" l="1"/>
  <c r="Y11" i="9" s="1"/>
  <c r="AA11" i="9" s="1"/>
  <c r="L200" i="9"/>
  <c r="M200" i="9" s="1"/>
  <c r="F18" i="17"/>
  <c r="F31" i="17" s="1"/>
  <c r="F18" i="16"/>
  <c r="F31" i="16" s="1"/>
  <c r="B56" i="15"/>
  <c r="F40" i="17"/>
  <c r="G28" i="17"/>
  <c r="F50" i="17"/>
  <c r="G28" i="16"/>
  <c r="F40" i="16"/>
  <c r="F50" i="16"/>
  <c r="F17" i="16"/>
  <c r="F30" i="16" s="1"/>
  <c r="F17" i="17"/>
  <c r="F30" i="17" s="1"/>
  <c r="B55" i="15"/>
  <c r="M60" i="9"/>
  <c r="L99" i="9"/>
  <c r="L60" i="9"/>
  <c r="P115" i="9"/>
  <c r="V9" i="9" s="1"/>
  <c r="X9" i="9" s="1"/>
  <c r="M99" i="9"/>
  <c r="G39" i="8"/>
  <c r="G49" i="8"/>
  <c r="B61" i="8" s="1"/>
  <c r="T11" i="9"/>
  <c r="D10" i="6"/>
  <c r="E10" i="6" s="1"/>
  <c r="F10" i="6" s="1"/>
  <c r="F50" i="7"/>
  <c r="G28" i="7"/>
  <c r="F40" i="7"/>
  <c r="H28" i="8"/>
  <c r="G40" i="8"/>
  <c r="G50" i="8"/>
  <c r="B62" i="8" s="1"/>
  <c r="F51" i="8"/>
  <c r="F41" i="8"/>
  <c r="G29" i="8"/>
  <c r="H30" i="8" s="1"/>
  <c r="T10" i="9"/>
  <c r="D9" i="6"/>
  <c r="E9" i="6" s="1"/>
  <c r="L201" i="9"/>
  <c r="M201" i="9" s="1"/>
  <c r="J150" i="5"/>
  <c r="E150" i="5"/>
  <c r="D8" i="15" s="1"/>
  <c r="E8" i="15" s="1"/>
  <c r="F18" i="8"/>
  <c r="F18" i="7"/>
  <c r="F31" i="7" s="1"/>
  <c r="B56" i="6"/>
  <c r="F30" i="6"/>
  <c r="F17" i="7"/>
  <c r="F30" i="7" s="1"/>
  <c r="B55" i="6"/>
  <c r="F17" i="8"/>
  <c r="F48" i="8"/>
  <c r="F38" i="8"/>
  <c r="G26" i="8"/>
  <c r="G52" i="8"/>
  <c r="B64" i="8" s="1"/>
  <c r="B73" i="8" s="1"/>
  <c r="G42" i="8"/>
  <c r="F43" i="8"/>
  <c r="G32" i="8"/>
  <c r="G44" i="8" s="1"/>
  <c r="F53" i="8"/>
  <c r="G54" i="8" s="1"/>
  <c r="B66" i="8" s="1"/>
  <c r="G31" i="8"/>
  <c r="H31" i="8" s="1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I15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H24" i="5"/>
  <c r="I17" i="5"/>
  <c r="I10" i="5"/>
  <c r="Y7" i="5" s="1"/>
  <c r="D207" i="9" s="1"/>
  <c r="I7" i="5"/>
  <c r="Y8" i="5" s="1"/>
  <c r="D210" i="9" s="1"/>
  <c r="P60" i="9" l="1"/>
  <c r="Y10" i="9" s="1"/>
  <c r="AA10" i="9" s="1"/>
  <c r="G40" i="16"/>
  <c r="G50" i="16"/>
  <c r="B62" i="16" s="1"/>
  <c r="F52" i="16"/>
  <c r="F42" i="16"/>
  <c r="G30" i="16"/>
  <c r="G32" i="16"/>
  <c r="G44" i="16" s="1"/>
  <c r="F53" i="16"/>
  <c r="G54" i="16" s="1"/>
  <c r="B66" i="16" s="1"/>
  <c r="F43" i="16"/>
  <c r="G31" i="16"/>
  <c r="G50" i="17"/>
  <c r="B62" i="17" s="1"/>
  <c r="G40" i="17"/>
  <c r="F43" i="17"/>
  <c r="G32" i="17"/>
  <c r="G44" i="17" s="1"/>
  <c r="G31" i="17"/>
  <c r="F53" i="17"/>
  <c r="G54" i="17" s="1"/>
  <c r="B66" i="17" s="1"/>
  <c r="F16" i="17"/>
  <c r="F29" i="17" s="1"/>
  <c r="F16" i="16"/>
  <c r="F29" i="16" s="1"/>
  <c r="B54" i="15"/>
  <c r="F42" i="17"/>
  <c r="G30" i="17"/>
  <c r="F52" i="17"/>
  <c r="P99" i="9"/>
  <c r="Y9" i="9" s="1"/>
  <c r="AA9" i="9" s="1"/>
  <c r="F43" i="7"/>
  <c r="F53" i="7"/>
  <c r="G54" i="7" s="1"/>
  <c r="B66" i="7" s="1"/>
  <c r="G32" i="7"/>
  <c r="G44" i="7" s="1"/>
  <c r="G31" i="7"/>
  <c r="D19" i="6"/>
  <c r="F9" i="6"/>
  <c r="G30" i="7"/>
  <c r="F42" i="7"/>
  <c r="F52" i="7"/>
  <c r="H50" i="8"/>
  <c r="C112" i="8" s="1"/>
  <c r="I28" i="8"/>
  <c r="J28" i="8" s="1"/>
  <c r="H40" i="8"/>
  <c r="F31" i="6"/>
  <c r="D39" i="6"/>
  <c r="T9" i="9"/>
  <c r="D8" i="6"/>
  <c r="E8" i="6" s="1"/>
  <c r="G40" i="7"/>
  <c r="G50" i="7"/>
  <c r="B62" i="7" s="1"/>
  <c r="B54" i="6"/>
  <c r="F16" i="8"/>
  <c r="F16" i="7"/>
  <c r="F29" i="7" s="1"/>
  <c r="G41" i="8"/>
  <c r="G51" i="8"/>
  <c r="B63" i="8" s="1"/>
  <c r="H29" i="8"/>
  <c r="G48" i="8"/>
  <c r="B60" i="8" s="1"/>
  <c r="G38" i="8"/>
  <c r="H26" i="8"/>
  <c r="H27" i="8"/>
  <c r="H53" i="8"/>
  <c r="C115" i="8" s="1"/>
  <c r="I31" i="8"/>
  <c r="J31" i="8" s="1"/>
  <c r="H43" i="8"/>
  <c r="H42" i="8"/>
  <c r="I30" i="8"/>
  <c r="J30" i="8" s="1"/>
  <c r="H52" i="8"/>
  <c r="C114" i="8" s="1"/>
  <c r="G43" i="8"/>
  <c r="G53" i="8"/>
  <c r="B65" i="8" s="1"/>
  <c r="B76" i="8" s="1"/>
  <c r="G40" i="5"/>
  <c r="G33" i="5"/>
  <c r="I33" i="5" s="1"/>
  <c r="Y30" i="5" s="1"/>
  <c r="D169" i="9" s="1"/>
  <c r="G38" i="5"/>
  <c r="G29" i="17" l="1"/>
  <c r="H30" i="17" s="1"/>
  <c r="F51" i="17"/>
  <c r="F41" i="17"/>
  <c r="H31" i="16"/>
  <c r="G43" i="16"/>
  <c r="G53" i="16"/>
  <c r="B65" i="16" s="1"/>
  <c r="B76" i="16" s="1"/>
  <c r="G52" i="16"/>
  <c r="B64" i="16" s="1"/>
  <c r="B73" i="16" s="1"/>
  <c r="G42" i="16"/>
  <c r="F51" i="16"/>
  <c r="G29" i="16"/>
  <c r="F41" i="16"/>
  <c r="G52" i="17"/>
  <c r="B64" i="17" s="1"/>
  <c r="B73" i="17" s="1"/>
  <c r="G42" i="17"/>
  <c r="H31" i="17"/>
  <c r="G43" i="17"/>
  <c r="G53" i="17"/>
  <c r="B65" i="17" s="1"/>
  <c r="B76" i="17" s="1"/>
  <c r="I40" i="5"/>
  <c r="AA29" i="5"/>
  <c r="H166" i="9" s="1"/>
  <c r="I38" i="5"/>
  <c r="Y29" i="5"/>
  <c r="D166" i="9" s="1"/>
  <c r="H51" i="8"/>
  <c r="C113" i="8" s="1"/>
  <c r="I29" i="8"/>
  <c r="J29" i="8" s="1"/>
  <c r="H41" i="8"/>
  <c r="G52" i="7"/>
  <c r="B64" i="7" s="1"/>
  <c r="B73" i="7" s="1"/>
  <c r="G42" i="7"/>
  <c r="H31" i="7"/>
  <c r="G43" i="7"/>
  <c r="G53" i="7"/>
  <c r="B65" i="7" s="1"/>
  <c r="B76" i="7" s="1"/>
  <c r="E39" i="6"/>
  <c r="F39" i="6"/>
  <c r="D40" i="6"/>
  <c r="F32" i="6"/>
  <c r="D18" i="6"/>
  <c r="F8" i="6"/>
  <c r="G29" i="7"/>
  <c r="H30" i="7" s="1"/>
  <c r="F51" i="7"/>
  <c r="F41" i="7"/>
  <c r="F19" i="6"/>
  <c r="E19" i="6"/>
  <c r="H39" i="8"/>
  <c r="H49" i="8"/>
  <c r="C111" i="8" s="1"/>
  <c r="I27" i="8"/>
  <c r="J27" i="8" s="1"/>
  <c r="H38" i="8"/>
  <c r="I26" i="8"/>
  <c r="J26" i="8" s="1"/>
  <c r="K26" i="8" s="1"/>
  <c r="H48" i="8"/>
  <c r="C110" i="8" s="1"/>
  <c r="I23" i="5"/>
  <c r="G46" i="5"/>
  <c r="I22" i="5"/>
  <c r="G45" i="5"/>
  <c r="I21" i="5"/>
  <c r="G44" i="5"/>
  <c r="I20" i="5"/>
  <c r="G43" i="5"/>
  <c r="I19" i="5"/>
  <c r="G42" i="5"/>
  <c r="I18" i="5"/>
  <c r="G41" i="5"/>
  <c r="I16" i="5"/>
  <c r="G39" i="5"/>
  <c r="I14" i="5"/>
  <c r="X6" i="5" s="1"/>
  <c r="B204" i="9" s="1"/>
  <c r="L204" i="9" s="1"/>
  <c r="G37" i="5"/>
  <c r="I37" i="5" s="1"/>
  <c r="X29" i="5" s="1"/>
  <c r="B166" i="9" s="1"/>
  <c r="I13" i="5"/>
  <c r="AB7" i="5" s="1"/>
  <c r="J207" i="9" s="1"/>
  <c r="G36" i="5"/>
  <c r="I36" i="5" s="1"/>
  <c r="AB30" i="5" s="1"/>
  <c r="J169" i="9" s="1"/>
  <c r="I11" i="5"/>
  <c r="Z7" i="5" s="1"/>
  <c r="F207" i="9" s="1"/>
  <c r="G34" i="5"/>
  <c r="I34" i="5" s="1"/>
  <c r="Z30" i="5" s="1"/>
  <c r="F169" i="9" s="1"/>
  <c r="I9" i="5"/>
  <c r="X7" i="5" s="1"/>
  <c r="B206" i="9" s="1"/>
  <c r="L206" i="9" s="1"/>
  <c r="M206" i="9" s="1"/>
  <c r="G32" i="5"/>
  <c r="I32" i="5" s="1"/>
  <c r="X30" i="5" s="1"/>
  <c r="B168" i="9" s="1"/>
  <c r="L168" i="9" s="1"/>
  <c r="M168" i="9" s="1"/>
  <c r="G31" i="5"/>
  <c r="I31" i="5" s="1"/>
  <c r="Z31" i="5" s="1"/>
  <c r="F172" i="9" s="1"/>
  <c r="G30" i="5"/>
  <c r="I30" i="5" s="1"/>
  <c r="Y31" i="5" s="1"/>
  <c r="D172" i="9" s="1"/>
  <c r="I8" i="5"/>
  <c r="Z8" i="5" s="1"/>
  <c r="F210" i="9" s="1"/>
  <c r="L210" i="9" s="1"/>
  <c r="M210" i="9" s="1"/>
  <c r="B30" i="4"/>
  <c r="B29" i="4" s="1"/>
  <c r="B28" i="4" s="1"/>
  <c r="B27" i="4" s="1"/>
  <c r="B26" i="4" s="1"/>
  <c r="B17" i="4"/>
  <c r="B19" i="4" s="1"/>
  <c r="B12" i="4"/>
  <c r="B13" i="4" s="1"/>
  <c r="E7" i="4"/>
  <c r="F7" i="4" s="1"/>
  <c r="E6" i="4"/>
  <c r="C30" i="4" s="1"/>
  <c r="E5" i="4"/>
  <c r="E4" i="4"/>
  <c r="F4" i="4" s="1"/>
  <c r="E3" i="4"/>
  <c r="F3" i="4" s="1"/>
  <c r="E2" i="4"/>
  <c r="F2" i="4" s="1"/>
  <c r="L154" i="3"/>
  <c r="G154" i="3"/>
  <c r="J57" i="3"/>
  <c r="L153" i="3"/>
  <c r="L161" i="3" s="1"/>
  <c r="L156" i="3"/>
  <c r="L155" i="3"/>
  <c r="H53" i="16" l="1"/>
  <c r="C115" i="16" s="1"/>
  <c r="D115" i="16" s="1"/>
  <c r="G115" i="16" s="1"/>
  <c r="I31" i="16"/>
  <c r="J31" i="16" s="1"/>
  <c r="H43" i="16"/>
  <c r="H43" i="17"/>
  <c r="I31" i="17"/>
  <c r="J31" i="17" s="1"/>
  <c r="H53" i="17"/>
  <c r="C115" i="17" s="1"/>
  <c r="D115" i="17" s="1"/>
  <c r="G115" i="17" s="1"/>
  <c r="G51" i="16"/>
  <c r="B63" i="16" s="1"/>
  <c r="G41" i="16"/>
  <c r="H30" i="16"/>
  <c r="H29" i="16"/>
  <c r="H52" i="17"/>
  <c r="C114" i="17" s="1"/>
  <c r="D114" i="17" s="1"/>
  <c r="G114" i="17" s="1"/>
  <c r="H42" i="17"/>
  <c r="I30" i="17"/>
  <c r="J30" i="17" s="1"/>
  <c r="G41" i="17"/>
  <c r="G51" i="17"/>
  <c r="B63" i="17" s="1"/>
  <c r="H29" i="17"/>
  <c r="L158" i="3"/>
  <c r="L172" i="9"/>
  <c r="M172" i="9" s="1"/>
  <c r="H52" i="7"/>
  <c r="C114" i="7" s="1"/>
  <c r="H42" i="7"/>
  <c r="I30" i="7"/>
  <c r="J30" i="7" s="1"/>
  <c r="I41" i="5"/>
  <c r="AB29" i="5"/>
  <c r="K166" i="9" s="1"/>
  <c r="L166" i="9" s="1"/>
  <c r="M166" i="9" s="1"/>
  <c r="D17" i="6"/>
  <c r="F7" i="6"/>
  <c r="I45" i="5"/>
  <c r="AA28" i="5"/>
  <c r="H162" i="9" s="1"/>
  <c r="F18" i="6"/>
  <c r="E18" i="6"/>
  <c r="I31" i="7"/>
  <c r="J31" i="7" s="1"/>
  <c r="H43" i="7"/>
  <c r="H53" i="7"/>
  <c r="C115" i="7" s="1"/>
  <c r="M204" i="9"/>
  <c r="F33" i="6"/>
  <c r="D41" i="6"/>
  <c r="I43" i="5"/>
  <c r="Y28" i="5"/>
  <c r="D163" i="9" s="1"/>
  <c r="I39" i="5"/>
  <c r="Z29" i="5"/>
  <c r="F165" i="9" s="1"/>
  <c r="L165" i="9" s="1"/>
  <c r="M165" i="9" s="1"/>
  <c r="I42" i="5"/>
  <c r="X28" i="5"/>
  <c r="B162" i="9" s="1"/>
  <c r="I44" i="5"/>
  <c r="Z28" i="5"/>
  <c r="F163" i="9" s="1"/>
  <c r="I46" i="5"/>
  <c r="AB28" i="5"/>
  <c r="J162" i="9" s="1"/>
  <c r="G51" i="7"/>
  <c r="B63" i="7" s="1"/>
  <c r="G41" i="7"/>
  <c r="H29" i="7"/>
  <c r="F40" i="6"/>
  <c r="E40" i="6"/>
  <c r="E60" i="8"/>
  <c r="K27" i="8"/>
  <c r="I12" i="5"/>
  <c r="AA7" i="5" s="1"/>
  <c r="H207" i="9" s="1"/>
  <c r="L207" i="9" s="1"/>
  <c r="G35" i="5"/>
  <c r="I35" i="5" s="1"/>
  <c r="AA30" i="5" s="1"/>
  <c r="H169" i="9" s="1"/>
  <c r="L169" i="9" s="1"/>
  <c r="M169" i="9" s="1"/>
  <c r="I6" i="5"/>
  <c r="X8" i="5" s="1"/>
  <c r="B211" i="9" s="1"/>
  <c r="L211" i="9" s="1"/>
  <c r="M211" i="9" s="1"/>
  <c r="G29" i="5"/>
  <c r="I24" i="5"/>
  <c r="J147" i="5" s="1"/>
  <c r="F6" i="4"/>
  <c r="C31" i="4"/>
  <c r="C29" i="4"/>
  <c r="F5" i="4"/>
  <c r="F8" i="4" s="1"/>
  <c r="C28" i="4"/>
  <c r="C26" i="4"/>
  <c r="C27" i="4"/>
  <c r="E8" i="4"/>
  <c r="B23" i="4" s="1"/>
  <c r="I29" i="17" l="1"/>
  <c r="J29" i="17" s="1"/>
  <c r="H51" i="17"/>
  <c r="C113" i="17" s="1"/>
  <c r="D113" i="17" s="1"/>
  <c r="G113" i="17" s="1"/>
  <c r="H41" i="17"/>
  <c r="I29" i="16"/>
  <c r="J29" i="16" s="1"/>
  <c r="H41" i="16"/>
  <c r="H51" i="16"/>
  <c r="C113" i="16" s="1"/>
  <c r="D113" i="16" s="1"/>
  <c r="G113" i="16" s="1"/>
  <c r="I30" i="16"/>
  <c r="J30" i="16" s="1"/>
  <c r="H52" i="16"/>
  <c r="C114" i="16" s="1"/>
  <c r="D114" i="16" s="1"/>
  <c r="G114" i="16" s="1"/>
  <c r="H42" i="16"/>
  <c r="M207" i="9"/>
  <c r="M213" i="9" s="1"/>
  <c r="L213" i="9"/>
  <c r="E147" i="5"/>
  <c r="D5" i="15" s="1"/>
  <c r="E5" i="15" s="1"/>
  <c r="L162" i="9"/>
  <c r="L163" i="9"/>
  <c r="M163" i="9" s="1"/>
  <c r="D16" i="6"/>
  <c r="I29" i="7"/>
  <c r="J29" i="7" s="1"/>
  <c r="H41" i="7"/>
  <c r="H51" i="7"/>
  <c r="C113" i="7" s="1"/>
  <c r="F17" i="6"/>
  <c r="E17" i="6"/>
  <c r="E41" i="6"/>
  <c r="F41" i="6"/>
  <c r="F34" i="6"/>
  <c r="D42" i="6"/>
  <c r="K28" i="8"/>
  <c r="E61" i="8"/>
  <c r="I47" i="5"/>
  <c r="I29" i="5"/>
  <c r="X31" i="5" s="1"/>
  <c r="B173" i="9" s="1"/>
  <c r="L173" i="9" s="1"/>
  <c r="M173" i="9" s="1"/>
  <c r="D27" i="4"/>
  <c r="D29" i="4"/>
  <c r="C33" i="4"/>
  <c r="D30" i="4" s="1"/>
  <c r="D26" i="4"/>
  <c r="D31" i="4"/>
  <c r="F13" i="16" l="1"/>
  <c r="F26" i="16" s="1"/>
  <c r="F13" i="17"/>
  <c r="F26" i="17" s="1"/>
  <c r="B51" i="15"/>
  <c r="P213" i="9"/>
  <c r="Y6" i="9" s="1"/>
  <c r="AA6" i="9" s="1"/>
  <c r="J148" i="5"/>
  <c r="E148" i="5"/>
  <c r="D6" i="15" s="1"/>
  <c r="E6" i="15" s="1"/>
  <c r="F16" i="6"/>
  <c r="E16" i="6"/>
  <c r="T6" i="9"/>
  <c r="D5" i="6"/>
  <c r="E5" i="6" s="1"/>
  <c r="F13" i="7"/>
  <c r="F26" i="7" s="1"/>
  <c r="B51" i="6"/>
  <c r="F13" i="8"/>
  <c r="F42" i="6"/>
  <c r="E42" i="6"/>
  <c r="D43" i="6"/>
  <c r="F35" i="6"/>
  <c r="D44" i="6" s="1"/>
  <c r="L175" i="9"/>
  <c r="M162" i="9"/>
  <c r="M175" i="9" s="1"/>
  <c r="K29" i="8"/>
  <c r="E62" i="8"/>
  <c r="D28" i="4"/>
  <c r="E26" i="4"/>
  <c r="F26" i="4" s="1"/>
  <c r="G26" i="4" s="1"/>
  <c r="D33" i="4"/>
  <c r="F48" i="17" l="1"/>
  <c r="F38" i="17"/>
  <c r="G26" i="17"/>
  <c r="F14" i="17"/>
  <c r="F27" i="17" s="1"/>
  <c r="F14" i="16"/>
  <c r="F27" i="16" s="1"/>
  <c r="B52" i="15"/>
  <c r="F48" i="16"/>
  <c r="F38" i="16"/>
  <c r="G26" i="16"/>
  <c r="P175" i="9"/>
  <c r="Y7" i="9" s="1"/>
  <c r="AA7" i="9" s="1"/>
  <c r="G26" i="7"/>
  <c r="G48" i="7" s="1"/>
  <c r="F48" i="7"/>
  <c r="F38" i="7"/>
  <c r="E43" i="6"/>
  <c r="F43" i="6"/>
  <c r="T7" i="9"/>
  <c r="D6" i="6"/>
  <c r="E6" i="6" s="1"/>
  <c r="F6" i="6" s="1"/>
  <c r="F44" i="6"/>
  <c r="E44" i="6"/>
  <c r="F14" i="7"/>
  <c r="F27" i="7" s="1"/>
  <c r="B52" i="6"/>
  <c r="F14" i="8"/>
  <c r="K30" i="8"/>
  <c r="E63" i="8"/>
  <c r="E38" i="4"/>
  <c r="E27" i="4"/>
  <c r="F27" i="4" s="1"/>
  <c r="F39" i="4" s="1"/>
  <c r="G38" i="17" l="1"/>
  <c r="H26" i="17"/>
  <c r="G48" i="17"/>
  <c r="B60" i="17" s="1"/>
  <c r="F49" i="17"/>
  <c r="G27" i="17"/>
  <c r="H27" i="17" s="1"/>
  <c r="F39" i="17"/>
  <c r="G38" i="16"/>
  <c r="H26" i="16"/>
  <c r="G48" i="16"/>
  <c r="B60" i="16" s="1"/>
  <c r="G27" i="16"/>
  <c r="F39" i="16"/>
  <c r="F49" i="16"/>
  <c r="E45" i="6"/>
  <c r="D15" i="6"/>
  <c r="F5" i="6"/>
  <c r="D14" i="6" s="1"/>
  <c r="F39" i="7"/>
  <c r="G27" i="7"/>
  <c r="F49" i="7"/>
  <c r="F45" i="6"/>
  <c r="H26" i="7"/>
  <c r="G38" i="7"/>
  <c r="B60" i="7"/>
  <c r="E64" i="8"/>
  <c r="K31" i="8"/>
  <c r="E65" i="8" s="1"/>
  <c r="H38" i="4"/>
  <c r="I26" i="4"/>
  <c r="J26" i="4" s="1"/>
  <c r="K26" i="4" s="1"/>
  <c r="F48" i="4"/>
  <c r="F38" i="4"/>
  <c r="E39" i="4"/>
  <c r="E28" i="4"/>
  <c r="F28" i="4" s="1"/>
  <c r="F40" i="4" s="1"/>
  <c r="G49" i="16" l="1"/>
  <c r="B61" i="16" s="1"/>
  <c r="G39" i="16"/>
  <c r="H28" i="16"/>
  <c r="H27" i="16"/>
  <c r="G49" i="17"/>
  <c r="B61" i="17" s="1"/>
  <c r="G39" i="17"/>
  <c r="H28" i="17"/>
  <c r="H48" i="17"/>
  <c r="C110" i="17" s="1"/>
  <c r="D110" i="17" s="1"/>
  <c r="G110" i="17" s="1"/>
  <c r="H38" i="17"/>
  <c r="I26" i="17"/>
  <c r="J26" i="17" s="1"/>
  <c r="K26" i="17" s="1"/>
  <c r="E60" i="17" s="1"/>
  <c r="H49" i="17"/>
  <c r="C111" i="17" s="1"/>
  <c r="D111" i="17" s="1"/>
  <c r="G111" i="17" s="1"/>
  <c r="I27" i="17"/>
  <c r="J27" i="17" s="1"/>
  <c r="H39" i="17"/>
  <c r="I26" i="16"/>
  <c r="J26" i="16" s="1"/>
  <c r="K26" i="16" s="1"/>
  <c r="E60" i="16" s="1"/>
  <c r="H38" i="16"/>
  <c r="H48" i="16"/>
  <c r="C110" i="16" s="1"/>
  <c r="D110" i="16" s="1"/>
  <c r="G110" i="16" s="1"/>
  <c r="B47" i="6"/>
  <c r="H48" i="7"/>
  <c r="C110" i="7" s="1"/>
  <c r="H38" i="7"/>
  <c r="I26" i="7"/>
  <c r="J26" i="7" s="1"/>
  <c r="K26" i="7" s="1"/>
  <c r="H27" i="7"/>
  <c r="G39" i="7"/>
  <c r="G49" i="7"/>
  <c r="B61" i="7" s="1"/>
  <c r="H28" i="7"/>
  <c r="F14" i="6"/>
  <c r="E14" i="6"/>
  <c r="F15" i="6"/>
  <c r="E15" i="6"/>
  <c r="E60" i="4"/>
  <c r="F49" i="4"/>
  <c r="G27" i="4"/>
  <c r="E40" i="4"/>
  <c r="E29" i="4"/>
  <c r="F29" i="4" s="1"/>
  <c r="F41" i="4" s="1"/>
  <c r="G48" i="4"/>
  <c r="B60" i="4" s="1"/>
  <c r="G38" i="4"/>
  <c r="H50" i="16" l="1"/>
  <c r="C112" i="16" s="1"/>
  <c r="D112" i="16" s="1"/>
  <c r="G112" i="16" s="1"/>
  <c r="H40" i="16"/>
  <c r="I28" i="16"/>
  <c r="J28" i="16" s="1"/>
  <c r="K27" i="17"/>
  <c r="E61" i="17" s="1"/>
  <c r="H49" i="16"/>
  <c r="C111" i="16" s="1"/>
  <c r="D111" i="16" s="1"/>
  <c r="G111" i="16" s="1"/>
  <c r="I27" i="16"/>
  <c r="J27" i="16" s="1"/>
  <c r="K27" i="16" s="1"/>
  <c r="H39" i="16"/>
  <c r="H40" i="17"/>
  <c r="H50" i="17"/>
  <c r="C112" i="17" s="1"/>
  <c r="D112" i="17" s="1"/>
  <c r="G112" i="17" s="1"/>
  <c r="I28" i="17"/>
  <c r="J28" i="17" s="1"/>
  <c r="G60" i="16"/>
  <c r="F60" i="16"/>
  <c r="F60" i="17"/>
  <c r="G60" i="17"/>
  <c r="F20" i="6"/>
  <c r="H49" i="7"/>
  <c r="C111" i="7" s="1"/>
  <c r="I27" i="7"/>
  <c r="J27" i="7" s="1"/>
  <c r="K27" i="7" s="1"/>
  <c r="H39" i="7"/>
  <c r="I28" i="7"/>
  <c r="J28" i="7" s="1"/>
  <c r="H50" i="7"/>
  <c r="C112" i="7" s="1"/>
  <c r="H40" i="7"/>
  <c r="E60" i="7"/>
  <c r="E20" i="6"/>
  <c r="B23" i="6" s="1"/>
  <c r="G39" i="4"/>
  <c r="G49" i="4"/>
  <c r="B61" i="4" s="1"/>
  <c r="H48" i="4"/>
  <c r="C110" i="4" s="1"/>
  <c r="F50" i="4"/>
  <c r="G28" i="4"/>
  <c r="E41" i="4"/>
  <c r="E30" i="4"/>
  <c r="F30" i="4" s="1"/>
  <c r="F42" i="4" s="1"/>
  <c r="K28" i="17" l="1"/>
  <c r="K28" i="16"/>
  <c r="E61" i="16"/>
  <c r="G61" i="17"/>
  <c r="F61" i="17"/>
  <c r="K28" i="7"/>
  <c r="E61" i="7"/>
  <c r="H39" i="4"/>
  <c r="I27" i="4"/>
  <c r="J27" i="4" s="1"/>
  <c r="K27" i="4" s="1"/>
  <c r="H49" i="4"/>
  <c r="C111" i="4" s="1"/>
  <c r="H50" i="4"/>
  <c r="C112" i="4" s="1"/>
  <c r="G29" i="4"/>
  <c r="F51" i="4"/>
  <c r="E42" i="4"/>
  <c r="E31" i="4"/>
  <c r="F31" i="4" s="1"/>
  <c r="F43" i="4" s="1"/>
  <c r="G50" i="4"/>
  <c r="B62" i="4" s="1"/>
  <c r="G40" i="4"/>
  <c r="G61" i="16" l="1"/>
  <c r="F61" i="16"/>
  <c r="E62" i="16"/>
  <c r="K29" i="16"/>
  <c r="E62" i="17"/>
  <c r="K29" i="17"/>
  <c r="E62" i="7"/>
  <c r="K29" i="7"/>
  <c r="E61" i="4"/>
  <c r="K28" i="4"/>
  <c r="I28" i="4"/>
  <c r="J28" i="4" s="1"/>
  <c r="H40" i="4"/>
  <c r="G51" i="4"/>
  <c r="B63" i="4" s="1"/>
  <c r="G41" i="4"/>
  <c r="E43" i="4"/>
  <c r="E33" i="4"/>
  <c r="G30" i="4"/>
  <c r="F52" i="4"/>
  <c r="F62" i="16" l="1"/>
  <c r="G62" i="16"/>
  <c r="E63" i="17"/>
  <c r="K30" i="17"/>
  <c r="E63" i="16"/>
  <c r="K30" i="16"/>
  <c r="F62" i="17"/>
  <c r="G62" i="17"/>
  <c r="K30" i="7"/>
  <c r="E63" i="7"/>
  <c r="H42" i="4"/>
  <c r="I30" i="4"/>
  <c r="J30" i="4" s="1"/>
  <c r="E62" i="4"/>
  <c r="H41" i="4"/>
  <c r="I29" i="4"/>
  <c r="J29" i="4" s="1"/>
  <c r="K29" i="4" s="1"/>
  <c r="H51" i="4"/>
  <c r="C113" i="4" s="1"/>
  <c r="H52" i="4"/>
  <c r="C114" i="4" s="1"/>
  <c r="F53" i="4"/>
  <c r="G54" i="4" s="1"/>
  <c r="B66" i="4" s="1"/>
  <c r="G32" i="4"/>
  <c r="G44" i="4" s="1"/>
  <c r="G31" i="4"/>
  <c r="G52" i="4"/>
  <c r="B64" i="4" s="1"/>
  <c r="B73" i="4" s="1"/>
  <c r="G42" i="4"/>
  <c r="E106" i="3"/>
  <c r="B106" i="3"/>
  <c r="E100" i="3"/>
  <c r="B100" i="3"/>
  <c r="B88" i="3"/>
  <c r="C21" i="3"/>
  <c r="B21" i="3"/>
  <c r="B29" i="3"/>
  <c r="G155" i="3"/>
  <c r="E146" i="3"/>
  <c r="E127" i="3"/>
  <c r="B127" i="3"/>
  <c r="E121" i="3"/>
  <c r="B121" i="3"/>
  <c r="B90" i="3"/>
  <c r="F74" i="3" s="1"/>
  <c r="K74" i="3" s="1"/>
  <c r="B84" i="3"/>
  <c r="B157" i="3" s="1"/>
  <c r="B83" i="3"/>
  <c r="B156" i="3" s="1"/>
  <c r="B82" i="3"/>
  <c r="B155" i="3" s="1"/>
  <c r="B81" i="3"/>
  <c r="B89" i="3" s="1"/>
  <c r="F67" i="3" s="1"/>
  <c r="K67" i="3" s="1"/>
  <c r="K77" i="3"/>
  <c r="K70" i="3"/>
  <c r="G57" i="3"/>
  <c r="E57" i="3"/>
  <c r="H57" i="3" s="1"/>
  <c r="G50" i="3"/>
  <c r="H74" i="3" s="1"/>
  <c r="F50" i="3"/>
  <c r="G44" i="3"/>
  <c r="G43" i="3"/>
  <c r="G42" i="3"/>
  <c r="G39" i="3"/>
  <c r="G38" i="3"/>
  <c r="J37" i="3"/>
  <c r="G37" i="3"/>
  <c r="G40" i="3" s="1"/>
  <c r="B52" i="3" s="1"/>
  <c r="G33" i="3"/>
  <c r="B33" i="3"/>
  <c r="C29" i="3"/>
  <c r="G29" i="3" s="1"/>
  <c r="C25" i="3"/>
  <c r="G25" i="3" s="1"/>
  <c r="B25" i="3"/>
  <c r="B16" i="3"/>
  <c r="G16" i="3" s="1"/>
  <c r="J10" i="3"/>
  <c r="B15" i="3" s="1"/>
  <c r="G15" i="3" s="1"/>
  <c r="G17" i="3" s="1"/>
  <c r="B51" i="3" s="1"/>
  <c r="J51" i="3" s="1"/>
  <c r="G10" i="3"/>
  <c r="G9" i="3"/>
  <c r="G8" i="3"/>
  <c r="G5" i="3"/>
  <c r="G4" i="3"/>
  <c r="G6" i="3" s="1"/>
  <c r="B4" i="3"/>
  <c r="J3" i="3"/>
  <c r="G3" i="3"/>
  <c r="F63" i="17" l="1"/>
  <c r="G63" i="17"/>
  <c r="E64" i="16"/>
  <c r="K31" i="16"/>
  <c r="E65" i="16" s="1"/>
  <c r="E64" i="17"/>
  <c r="K31" i="17"/>
  <c r="E65" i="17" s="1"/>
  <c r="F63" i="16"/>
  <c r="G63" i="16"/>
  <c r="F60" i="3"/>
  <c r="K60" i="3" s="1"/>
  <c r="F63" i="3"/>
  <c r="B107" i="3"/>
  <c r="B108" i="3" s="1"/>
  <c r="E107" i="3"/>
  <c r="E108" i="3" s="1"/>
  <c r="J52" i="3"/>
  <c r="J63" i="3"/>
  <c r="M63" i="3" s="1"/>
  <c r="G11" i="3"/>
  <c r="I155" i="3"/>
  <c r="G153" i="3"/>
  <c r="G161" i="3"/>
  <c r="J62" i="3"/>
  <c r="M62" i="3" s="1"/>
  <c r="K31" i="7"/>
  <c r="E65" i="7" s="1"/>
  <c r="E64" i="7"/>
  <c r="K30" i="4"/>
  <c r="E63" i="4"/>
  <c r="G43" i="4"/>
  <c r="G53" i="4"/>
  <c r="B65" i="4" s="1"/>
  <c r="B76" i="4" s="1"/>
  <c r="B109" i="3"/>
  <c r="E109" i="3"/>
  <c r="B53" i="3" s="1"/>
  <c r="J53" i="3" s="1"/>
  <c r="F61" i="3"/>
  <c r="F62" i="3"/>
  <c r="G21" i="3"/>
  <c r="H60" i="3"/>
  <c r="G45" i="3"/>
  <c r="B56" i="3" s="1"/>
  <c r="J56" i="3" s="1"/>
  <c r="E51" i="3"/>
  <c r="E52" i="3"/>
  <c r="B128" i="3"/>
  <c r="B129" i="3" s="1"/>
  <c r="B130" i="3" s="1"/>
  <c r="E147" i="3"/>
  <c r="E148" i="3" s="1"/>
  <c r="E149" i="3" s="1"/>
  <c r="B147" i="3"/>
  <c r="B148" i="3" s="1"/>
  <c r="B149" i="3" s="1"/>
  <c r="E128" i="3"/>
  <c r="E129" i="3" s="1"/>
  <c r="E130" i="3" s="1"/>
  <c r="B54" i="3" s="1"/>
  <c r="J54" i="3" s="1"/>
  <c r="I154" i="3" s="1"/>
  <c r="B50" i="3"/>
  <c r="J50" i="3" s="1"/>
  <c r="N153" i="3" s="1"/>
  <c r="H67" i="3"/>
  <c r="B154" i="3"/>
  <c r="B153" i="3" s="1"/>
  <c r="B161" i="3" s="1"/>
  <c r="F65" i="16" l="1"/>
  <c r="B77" i="16" s="1"/>
  <c r="G65" i="16"/>
  <c r="F64" i="16"/>
  <c r="G64" i="16"/>
  <c r="B74" i="16" s="1"/>
  <c r="G65" i="17"/>
  <c r="F65" i="17"/>
  <c r="B77" i="17" s="1"/>
  <c r="G64" i="17"/>
  <c r="B74" i="17" s="1"/>
  <c r="F64" i="17"/>
  <c r="J60" i="3"/>
  <c r="M60" i="3" s="1"/>
  <c r="M64" i="3" s="1"/>
  <c r="E98" i="3" s="1"/>
  <c r="E99" i="3" s="1"/>
  <c r="E101" i="3" s="1"/>
  <c r="B55" i="3"/>
  <c r="J77" i="3" s="1"/>
  <c r="M77" i="3" s="1"/>
  <c r="N154" i="3"/>
  <c r="N158" i="3" s="1"/>
  <c r="N159" i="3" s="1"/>
  <c r="N155" i="3"/>
  <c r="N156" i="3"/>
  <c r="H51" i="3"/>
  <c r="G62" i="3"/>
  <c r="I62" i="3" s="1"/>
  <c r="E53" i="3"/>
  <c r="H43" i="4"/>
  <c r="I31" i="4"/>
  <c r="J31" i="4" s="1"/>
  <c r="K31" i="4" s="1"/>
  <c r="E65" i="4" s="1"/>
  <c r="E64" i="4"/>
  <c r="H53" i="4"/>
  <c r="C115" i="4" s="1"/>
  <c r="K61" i="3"/>
  <c r="G61" i="3"/>
  <c r="J61" i="3"/>
  <c r="J70" i="3"/>
  <c r="M70" i="3" s="1"/>
  <c r="E54" i="3"/>
  <c r="G52" i="3"/>
  <c r="E56" i="3"/>
  <c r="H56" i="3" s="1"/>
  <c r="J67" i="3"/>
  <c r="M67" i="3" s="1"/>
  <c r="M71" i="3" s="1"/>
  <c r="E119" i="3" s="1"/>
  <c r="J74" i="3"/>
  <c r="M74" i="3" s="1"/>
  <c r="E50" i="3"/>
  <c r="E120" i="3" l="1"/>
  <c r="E122" i="3" s="1"/>
  <c r="B115" i="8"/>
  <c r="D115" i="8" s="1"/>
  <c r="G115" i="8" s="1"/>
  <c r="B111" i="8"/>
  <c r="D111" i="8" s="1"/>
  <c r="G111" i="8" s="1"/>
  <c r="B112" i="7"/>
  <c r="D112" i="7" s="1"/>
  <c r="G112" i="7" s="1"/>
  <c r="B110" i="8"/>
  <c r="D110" i="8" s="1"/>
  <c r="G110" i="8" s="1"/>
  <c r="B115" i="7"/>
  <c r="D115" i="7" s="1"/>
  <c r="G115" i="7" s="1"/>
  <c r="B113" i="8"/>
  <c r="D113" i="8" s="1"/>
  <c r="G113" i="8" s="1"/>
  <c r="B114" i="7"/>
  <c r="D114" i="7" s="1"/>
  <c r="G114" i="7" s="1"/>
  <c r="B110" i="7"/>
  <c r="D110" i="7" s="1"/>
  <c r="G110" i="7" s="1"/>
  <c r="B112" i="8"/>
  <c r="D112" i="8" s="1"/>
  <c r="G112" i="8" s="1"/>
  <c r="B113" i="7"/>
  <c r="D113" i="7" s="1"/>
  <c r="G113" i="7" s="1"/>
  <c r="B114" i="8"/>
  <c r="D114" i="8" s="1"/>
  <c r="G114" i="8" s="1"/>
  <c r="B111" i="7"/>
  <c r="D111" i="7" s="1"/>
  <c r="G111" i="7" s="1"/>
  <c r="B114" i="4"/>
  <c r="D114" i="4" s="1"/>
  <c r="G114" i="4" s="1"/>
  <c r="B111" i="4"/>
  <c r="D111" i="4" s="1"/>
  <c r="G111" i="4" s="1"/>
  <c r="B115" i="4"/>
  <c r="D115" i="4" s="1"/>
  <c r="G115" i="4" s="1"/>
  <c r="B112" i="4"/>
  <c r="D112" i="4" s="1"/>
  <c r="G112" i="4" s="1"/>
  <c r="B110" i="4"/>
  <c r="D110" i="4" s="1"/>
  <c r="G110" i="4" s="1"/>
  <c r="B113" i="4"/>
  <c r="D113" i="4" s="1"/>
  <c r="G113" i="4" s="1"/>
  <c r="E55" i="3"/>
  <c r="G77" i="3" s="1"/>
  <c r="I77" i="3" s="1"/>
  <c r="J55" i="3"/>
  <c r="D155" i="3" s="1"/>
  <c r="G60" i="3"/>
  <c r="I60" i="3" s="1"/>
  <c r="G74" i="3"/>
  <c r="I74" i="3" s="1"/>
  <c r="H52" i="3"/>
  <c r="H61" i="3"/>
  <c r="I61" i="3" s="1"/>
  <c r="G63" i="3"/>
  <c r="I63" i="3" s="1"/>
  <c r="H53" i="3"/>
  <c r="M78" i="3"/>
  <c r="E138" i="3" s="1"/>
  <c r="E139" i="3" s="1"/>
  <c r="E141" i="3" s="1"/>
  <c r="M61" i="3"/>
  <c r="D156" i="3"/>
  <c r="D154" i="3"/>
  <c r="D157" i="3"/>
  <c r="H50" i="3"/>
  <c r="G67" i="3"/>
  <c r="I67" i="3" s="1"/>
  <c r="G70" i="3"/>
  <c r="I70" i="3" s="1"/>
  <c r="H54" i="3"/>
  <c r="D153" i="3"/>
  <c r="I153" i="3"/>
  <c r="M155" i="3" l="1"/>
  <c r="M154" i="3"/>
  <c r="M156" i="3"/>
  <c r="I64" i="3"/>
  <c r="B98" i="3" s="1"/>
  <c r="B99" i="3" s="1"/>
  <c r="B101" i="3" s="1"/>
  <c r="H55" i="3"/>
  <c r="C155" i="3" s="1"/>
  <c r="C157" i="3"/>
  <c r="C156" i="3"/>
  <c r="C154" i="3"/>
  <c r="H154" i="3"/>
  <c r="H155" i="3"/>
  <c r="C153" i="3"/>
  <c r="M153" i="3"/>
  <c r="M158" i="3" s="1"/>
  <c r="M159" i="3" s="1"/>
  <c r="D158" i="3"/>
  <c r="B167" i="3" s="1"/>
  <c r="I71" i="3"/>
  <c r="B119" i="3" s="1"/>
  <c r="B120" i="3" s="1"/>
  <c r="B122" i="3" s="1"/>
  <c r="I78" i="3"/>
  <c r="I158" i="3"/>
  <c r="C167" i="3" s="1"/>
  <c r="H153" i="3"/>
  <c r="H158" i="3" s="1"/>
  <c r="H159" i="3" s="1"/>
  <c r="B139" i="3" l="1"/>
  <c r="B141" i="3" s="1"/>
  <c r="D60" i="7"/>
  <c r="G60" i="7" s="1"/>
  <c r="D60" i="8"/>
  <c r="G60" i="8" s="1"/>
  <c r="D60" i="4"/>
  <c r="G60" i="4" s="1"/>
  <c r="C60" i="7"/>
  <c r="F60" i="7" s="1"/>
  <c r="C60" i="8"/>
  <c r="F60" i="8" s="1"/>
  <c r="B168" i="3"/>
  <c r="C60" i="4"/>
  <c r="F60" i="4" s="1"/>
  <c r="D159" i="3"/>
  <c r="C158" i="3"/>
  <c r="C159" i="3" s="1"/>
  <c r="I159" i="3"/>
  <c r="C168" i="3" s="1"/>
  <c r="D61" i="8" l="1"/>
  <c r="G61" i="8" s="1"/>
  <c r="D61" i="7"/>
  <c r="G61" i="7" s="1"/>
  <c r="C170" i="3"/>
  <c r="C169" i="3"/>
  <c r="D61" i="4"/>
  <c r="G61" i="4" s="1"/>
  <c r="C61" i="7"/>
  <c r="F61" i="7" s="1"/>
  <c r="C61" i="8"/>
  <c r="F61" i="8" s="1"/>
  <c r="B171" i="3"/>
  <c r="C61" i="4"/>
  <c r="F61" i="4" s="1"/>
  <c r="B169" i="3"/>
  <c r="B172" i="3"/>
  <c r="B170" i="3"/>
  <c r="C172" i="3"/>
  <c r="C171" i="3"/>
  <c r="D62" i="7" l="1"/>
  <c r="G62" i="7" s="1"/>
  <c r="D62" i="8"/>
  <c r="G62" i="8" s="1"/>
  <c r="D62" i="4"/>
  <c r="G62" i="4" s="1"/>
  <c r="D63" i="8"/>
  <c r="G63" i="8" s="1"/>
  <c r="D63" i="7"/>
  <c r="G63" i="7" s="1"/>
  <c r="D63" i="4"/>
  <c r="G63" i="4" s="1"/>
  <c r="D64" i="7"/>
  <c r="G64" i="7" s="1"/>
  <c r="B74" i="7" s="1"/>
  <c r="D64" i="8"/>
  <c r="G64" i="8" s="1"/>
  <c r="B74" i="8" s="1"/>
  <c r="D64" i="4"/>
  <c r="G64" i="4" s="1"/>
  <c r="B74" i="4" s="1"/>
  <c r="D65" i="8"/>
  <c r="G65" i="8" s="1"/>
  <c r="D65" i="7"/>
  <c r="G65" i="7" s="1"/>
  <c r="D65" i="4"/>
  <c r="G65" i="4" s="1"/>
  <c r="C63" i="7"/>
  <c r="F63" i="7" s="1"/>
  <c r="C63" i="8"/>
  <c r="F63" i="8" s="1"/>
  <c r="C63" i="4"/>
  <c r="F63" i="4" s="1"/>
  <c r="C64" i="7"/>
  <c r="F64" i="7" s="1"/>
  <c r="C64" i="8"/>
  <c r="F64" i="8" s="1"/>
  <c r="C64" i="4"/>
  <c r="F64" i="4" s="1"/>
  <c r="C65" i="7"/>
  <c r="F65" i="7" s="1"/>
  <c r="B77" i="7" s="1"/>
  <c r="C65" i="8"/>
  <c r="F65" i="8" s="1"/>
  <c r="B77" i="8" s="1"/>
  <c r="C65" i="4"/>
  <c r="F65" i="4" s="1"/>
  <c r="B77" i="4" s="1"/>
  <c r="C62" i="7"/>
  <c r="F62" i="7" s="1"/>
  <c r="C62" i="8"/>
  <c r="F62" i="8" s="1"/>
  <c r="C62" i="4"/>
  <c r="F62" i="4" s="1"/>
</calcChain>
</file>

<file path=xl/sharedStrings.xml><?xml version="1.0" encoding="utf-8"?>
<sst xmlns="http://schemas.openxmlformats.org/spreadsheetml/2006/main" count="1068" uniqueCount="280">
  <si>
    <t xml:space="preserve">Analisi dei carichi solaio </t>
  </si>
  <si>
    <t>altezza solaio normativa</t>
  </si>
  <si>
    <t>altezza (m)</t>
  </si>
  <si>
    <t>Larghezza (m)</t>
  </si>
  <si>
    <t>spessore(m)</t>
  </si>
  <si>
    <t>Peso [KN]</t>
  </si>
  <si>
    <t xml:space="preserve">peso specifico (KN/m^3) </t>
  </si>
  <si>
    <t>peso proprio</t>
  </si>
  <si>
    <t>L(cm)=</t>
  </si>
  <si>
    <t>campata 4-9</t>
  </si>
  <si>
    <t>soletta</t>
  </si>
  <si>
    <t>s(cm)</t>
  </si>
  <si>
    <t>cm</t>
  </si>
  <si>
    <t>travetto</t>
  </si>
  <si>
    <t>s(m)</t>
  </si>
  <si>
    <t>m</t>
  </si>
  <si>
    <t>laterizi</t>
  </si>
  <si>
    <t>somma</t>
  </si>
  <si>
    <t>altezza</t>
  </si>
  <si>
    <t>larghezza</t>
  </si>
  <si>
    <t>spessore</t>
  </si>
  <si>
    <t>peso specifico</t>
  </si>
  <si>
    <t>sovracccarichi permanenti</t>
  </si>
  <si>
    <t>numero pignatte m^2</t>
  </si>
  <si>
    <t>massetto</t>
  </si>
  <si>
    <t xml:space="preserve">pavimento </t>
  </si>
  <si>
    <t>h interpiano</t>
  </si>
  <si>
    <t>intonaco</t>
  </si>
  <si>
    <t>altezza solaio</t>
  </si>
  <si>
    <t>Tamponatura</t>
  </si>
  <si>
    <t>h(m)</t>
  </si>
  <si>
    <t>larghezza(m)</t>
  </si>
  <si>
    <t>spessore (m)</t>
  </si>
  <si>
    <t>peso proprio [KN/m]</t>
  </si>
  <si>
    <t>trave emergente 7-12</t>
  </si>
  <si>
    <t>altezza [m]</t>
  </si>
  <si>
    <t>larghezza [m]</t>
  </si>
  <si>
    <t>spessore [m]</t>
  </si>
  <si>
    <t>peso specifico [m]</t>
  </si>
  <si>
    <t>trave a spessore 12-13</t>
  </si>
  <si>
    <t>pilastro 12</t>
  </si>
  <si>
    <t>balcone</t>
  </si>
  <si>
    <t>altezza balcone normativa</t>
  </si>
  <si>
    <t>gk</t>
  </si>
  <si>
    <t>gk,tramezzi</t>
  </si>
  <si>
    <t>qk</t>
  </si>
  <si>
    <t>gd</t>
  </si>
  <si>
    <t>gd,tramezzi</t>
  </si>
  <si>
    <t>qd</t>
  </si>
  <si>
    <t>gd+qd</t>
  </si>
  <si>
    <r>
      <t>gk+</t>
    </r>
    <r>
      <rPr>
        <b/>
        <sz val="11"/>
        <color theme="1"/>
        <rFont val="Calibri"/>
        <family val="2"/>
      </rPr>
      <t>Ψ</t>
    </r>
    <r>
      <rPr>
        <b/>
        <sz val="6.6"/>
        <color theme="1"/>
        <rFont val="Calibri"/>
        <family val="2"/>
      </rPr>
      <t>2  qk</t>
    </r>
  </si>
  <si>
    <t>solaio</t>
  </si>
  <si>
    <t>tamponatura</t>
  </si>
  <si>
    <t>trave 7-12</t>
  </si>
  <si>
    <t>trave 12-13</t>
  </si>
  <si>
    <t>pilastro</t>
  </si>
  <si>
    <t>scala</t>
  </si>
  <si>
    <t>campata 7-12 (emergente)</t>
  </si>
  <si>
    <t>alfa1</t>
  </si>
  <si>
    <t>alfa2</t>
  </si>
  <si>
    <t>L campata</t>
  </si>
  <si>
    <t>L balcone</t>
  </si>
  <si>
    <t>fascia solaio</t>
  </si>
  <si>
    <t>gd+gdtramezzi</t>
  </si>
  <si>
    <t>gk+gktramezzi</t>
  </si>
  <si>
    <t>fi2</t>
  </si>
  <si>
    <t>gk+fi2qk</t>
  </si>
  <si>
    <t xml:space="preserve">solaio </t>
  </si>
  <si>
    <t>-</t>
  </si>
  <si>
    <t>peso proprio della trave</t>
  </si>
  <si>
    <t>campata 12-13</t>
  </si>
  <si>
    <t>Lbalcone</t>
  </si>
  <si>
    <t>gk+Gk</t>
  </si>
  <si>
    <t>gk+gk+fi2qk</t>
  </si>
  <si>
    <t>b</t>
  </si>
  <si>
    <t xml:space="preserve">calcolo Area fascia solaio </t>
  </si>
  <si>
    <t>campata  11-12</t>
  </si>
  <si>
    <t>campata 17-18</t>
  </si>
  <si>
    <t>campata 13-18</t>
  </si>
  <si>
    <t>campata 7-12</t>
  </si>
  <si>
    <t>campata 12-17</t>
  </si>
  <si>
    <t>alfa 1</t>
  </si>
  <si>
    <t xml:space="preserve">alfa 2 </t>
  </si>
  <si>
    <t>fascia  trave spessore [m]</t>
  </si>
  <si>
    <t>dimensionamento  trave emergente 7-12</t>
  </si>
  <si>
    <t>l</t>
  </si>
  <si>
    <t>r=</t>
  </si>
  <si>
    <t>senza sisma</t>
  </si>
  <si>
    <t>con sisma</t>
  </si>
  <si>
    <t>qd(KN/m) non sisma=</t>
  </si>
  <si>
    <t>qd(KN/m) sisma=</t>
  </si>
  <si>
    <t>M [KNm] non sisma=</t>
  </si>
  <si>
    <t>M [KNm] sisma =</t>
  </si>
  <si>
    <t>trave 30x60</t>
  </si>
  <si>
    <t>peso caratteristico solaio</t>
  </si>
  <si>
    <t>peso da detrarre</t>
  </si>
  <si>
    <t>totale</t>
  </si>
  <si>
    <t>dimensionamento trave a spessore 12-13</t>
  </si>
  <si>
    <t>l=</t>
  </si>
  <si>
    <t>c[m]=</t>
  </si>
  <si>
    <t>h[m]=</t>
  </si>
  <si>
    <t>B[m] no sisma=</t>
  </si>
  <si>
    <t>B[m]=</t>
  </si>
  <si>
    <t>trave 40x22</t>
  </si>
  <si>
    <t>pilastro 12 (più sollecitato)</t>
  </si>
  <si>
    <t>pilastro 18 (meno sollecitato)</t>
  </si>
  <si>
    <t>Area influenza</t>
  </si>
  <si>
    <t>carico no sisma</t>
  </si>
  <si>
    <t>carico sisma</t>
  </si>
  <si>
    <t>Ltrave 11-12</t>
  </si>
  <si>
    <t>Ltrave 17-18</t>
  </si>
  <si>
    <t>Ltrave 12-13</t>
  </si>
  <si>
    <t>Ltrave 18-13</t>
  </si>
  <si>
    <t>Ltrave 7-12</t>
  </si>
  <si>
    <t>Ltrave 12-17</t>
  </si>
  <si>
    <t>totale con peso pilastro</t>
  </si>
  <si>
    <t>totale con peso del pilastro</t>
  </si>
  <si>
    <t>A influenza pilastro=</t>
  </si>
  <si>
    <t>alfa 2</t>
  </si>
  <si>
    <t>carico Ned</t>
  </si>
  <si>
    <t>impalcati</t>
  </si>
  <si>
    <t>"+ sollecitato"</t>
  </si>
  <si>
    <t>"-sollecitato</t>
  </si>
  <si>
    <t>mansarda</t>
  </si>
  <si>
    <t>piano interrato</t>
  </si>
  <si>
    <t>campata 5-7 (emergente)</t>
  </si>
  <si>
    <t>trave 5-7</t>
  </si>
  <si>
    <t>trave emergente 5-7</t>
  </si>
  <si>
    <t>campata 3-6</t>
  </si>
  <si>
    <t>fascia  trave emegente 7-12 [m]</t>
  </si>
  <si>
    <t>fascia trave 5-7</t>
  </si>
  <si>
    <t>dimensionamento  trave emergente 6-3</t>
  </si>
  <si>
    <t>trave 30x50</t>
  </si>
  <si>
    <t>d  no sisma=</t>
  </si>
  <si>
    <t>d sisma</t>
  </si>
  <si>
    <t>b [m] sisma=</t>
  </si>
  <si>
    <t>b[m] no sisma=</t>
  </si>
  <si>
    <t>pilastro 17</t>
  </si>
  <si>
    <t>Ltrave 17-12</t>
  </si>
  <si>
    <t>Ltrave 16-17</t>
  </si>
  <si>
    <t>Ψ2</t>
  </si>
  <si>
    <t>impalcato</t>
  </si>
  <si>
    <t>altezza interpiano [m]</t>
  </si>
  <si>
    <t>superficie [m^2]</t>
  </si>
  <si>
    <t xml:space="preserve"> Incidenza [KN/m^2] </t>
  </si>
  <si>
    <t>peso impalcato [KN]</t>
  </si>
  <si>
    <t>massa</t>
  </si>
  <si>
    <t>370,0400.00</t>
  </si>
  <si>
    <t xml:space="preserve"> 3292400.00</t>
  </si>
  <si>
    <t>C1</t>
  </si>
  <si>
    <t>numero pilastri</t>
  </si>
  <si>
    <t>H=</t>
  </si>
  <si>
    <t>pilastri direzione x</t>
  </si>
  <si>
    <t>T1=</t>
  </si>
  <si>
    <t>pilastri direzione y</t>
  </si>
  <si>
    <t>Sd (t) SLD</t>
  </si>
  <si>
    <t>Sd (t) SLV</t>
  </si>
  <si>
    <t>αu/α1</t>
  </si>
  <si>
    <t>qo</t>
  </si>
  <si>
    <t>classe duttilità A</t>
  </si>
  <si>
    <t>Kr=</t>
  </si>
  <si>
    <t>q=</t>
  </si>
  <si>
    <t>Forze per analisi statica</t>
  </si>
  <si>
    <t>taglio alla base</t>
  </si>
  <si>
    <t>KN</t>
  </si>
  <si>
    <t>atezza impalcato</t>
  </si>
  <si>
    <t>Wz [KNm]</t>
  </si>
  <si>
    <t>Forze al piano [KN]</t>
  </si>
  <si>
    <t>Taglio globale [kN]</t>
  </si>
  <si>
    <t>taglio pilastro kN</t>
  </si>
  <si>
    <t>momento pilastro KNm</t>
  </si>
  <si>
    <t>momento trave KNm</t>
  </si>
  <si>
    <t>M trave/L</t>
  </si>
  <si>
    <t>Vt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</si>
  <si>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N (KN)</t>
    </r>
  </si>
  <si>
    <t>testa</t>
  </si>
  <si>
    <t>piede</t>
  </si>
  <si>
    <t>INCREMENTO PER ECCENTRICITà</t>
  </si>
  <si>
    <t>Taglio globale kN</t>
  </si>
  <si>
    <t>piano interrato-testa</t>
  </si>
  <si>
    <t>piano interrato-piede</t>
  </si>
  <si>
    <t>gerarchie delle resistenze</t>
  </si>
  <si>
    <t>dimensionamento pilastri</t>
  </si>
  <si>
    <t>momento pilastro (kNm)</t>
  </si>
  <si>
    <t xml:space="preserve">  N +sollecitato</t>
  </si>
  <si>
    <t>N  -sollecitato</t>
  </si>
  <si>
    <t>N +sollecitato+DN (KN)</t>
  </si>
  <si>
    <t>N-sollecitato-DN</t>
  </si>
  <si>
    <t>piano interrato testa</t>
  </si>
  <si>
    <t>piano interrato piede</t>
  </si>
  <si>
    <t>fyd</t>
  </si>
  <si>
    <t>b=</t>
  </si>
  <si>
    <t>fcd</t>
  </si>
  <si>
    <t>coppie più gravose</t>
  </si>
  <si>
    <t>M=</t>
  </si>
  <si>
    <t>KNm</t>
  </si>
  <si>
    <t xml:space="preserve">per una sezione con armatura sueriore 5 fi 20 superiore ed un'armatura 5 fi 20inferiore </t>
  </si>
  <si>
    <t>N=</t>
  </si>
  <si>
    <t>dimensionamento travi emergenti</t>
  </si>
  <si>
    <t>momento massimo totale</t>
  </si>
  <si>
    <t>fck</t>
  </si>
  <si>
    <t>base</t>
  </si>
  <si>
    <t>interrato</t>
  </si>
  <si>
    <t>lunghezza trave</t>
  </si>
  <si>
    <t>trave 30x40</t>
  </si>
  <si>
    <t>momento da sisma</t>
  </si>
  <si>
    <t xml:space="preserve">momento con sisma </t>
  </si>
  <si>
    <t>30X70</t>
  </si>
  <si>
    <t>30X60</t>
  </si>
  <si>
    <t>30X50</t>
  </si>
  <si>
    <t xml:space="preserve">altezza utile </t>
  </si>
  <si>
    <t>Approccio per tipologia di pilastro</t>
  </si>
  <si>
    <t>mansarda direzione x</t>
  </si>
  <si>
    <t>h</t>
  </si>
  <si>
    <t>K</t>
  </si>
  <si>
    <t>K tot</t>
  </si>
  <si>
    <t>quinto direzione x</t>
  </si>
  <si>
    <t>quarto direzione x</t>
  </si>
  <si>
    <t>terzo direzione x</t>
  </si>
  <si>
    <t>secondo direzione x</t>
  </si>
  <si>
    <t>primo direzione x</t>
  </si>
  <si>
    <t>mansarda direzione y</t>
  </si>
  <si>
    <t>quarto direzione y</t>
  </si>
  <si>
    <t>quinto direzione y</t>
  </si>
  <si>
    <t>Kx</t>
  </si>
  <si>
    <t>Ky</t>
  </si>
  <si>
    <t>pilastri_x</t>
  </si>
  <si>
    <t>pilastri_y</t>
  </si>
  <si>
    <t>Controllo periodo proprio direzione x</t>
  </si>
  <si>
    <t>piano</t>
  </si>
  <si>
    <t>F</t>
  </si>
  <si>
    <t>V</t>
  </si>
  <si>
    <t>kx</t>
  </si>
  <si>
    <t>dr</t>
  </si>
  <si>
    <t>u</t>
  </si>
  <si>
    <t>F u</t>
  </si>
  <si>
    <t>m u^2</t>
  </si>
  <si>
    <t>T_x</t>
  </si>
  <si>
    <t>s</t>
  </si>
  <si>
    <t>controllo periodo proprio in direzione y</t>
  </si>
  <si>
    <t>ky</t>
  </si>
  <si>
    <t>T_y</t>
  </si>
  <si>
    <t xml:space="preserve">Ripartizione taglio fra i pilastri </t>
  </si>
  <si>
    <t xml:space="preserve">ordine </t>
  </si>
  <si>
    <t>direzione x</t>
  </si>
  <si>
    <t>direzione y</t>
  </si>
  <si>
    <t>somma*y</t>
  </si>
  <si>
    <t>somma*y^2</t>
  </si>
  <si>
    <t>xgK</t>
  </si>
  <si>
    <t>xgm</t>
  </si>
  <si>
    <t>xgk-xgm</t>
  </si>
  <si>
    <t>ygK</t>
  </si>
  <si>
    <t>ygm</t>
  </si>
  <si>
    <t>ygk-ygm</t>
  </si>
  <si>
    <t>ex_5%</t>
  </si>
  <si>
    <t>ey_5%</t>
  </si>
  <si>
    <t>ygk=</t>
  </si>
  <si>
    <t>xgk=</t>
  </si>
  <si>
    <t>somma*x</t>
  </si>
  <si>
    <t>secondo ordine</t>
  </si>
  <si>
    <t>Piano interrato/primo ordine</t>
  </si>
  <si>
    <t>terzo ordine</t>
  </si>
  <si>
    <t>quarto ordine</t>
  </si>
  <si>
    <t>quinto ordine</t>
  </si>
  <si>
    <t>sesto ordine/mansarda</t>
  </si>
  <si>
    <t>incremento</t>
  </si>
  <si>
    <t xml:space="preserve">tel </t>
  </si>
  <si>
    <t>previsione</t>
  </si>
  <si>
    <t>tel</t>
  </si>
  <si>
    <t>ey</t>
  </si>
  <si>
    <t>forze in direzione x</t>
  </si>
  <si>
    <t>ex</t>
  </si>
  <si>
    <t>M</t>
  </si>
  <si>
    <t>forze in direzione y</t>
  </si>
  <si>
    <t>60x22</t>
  </si>
  <si>
    <t>F [kN]</t>
  </si>
  <si>
    <t>V [kN]</t>
  </si>
  <si>
    <t>dr [mm]</t>
  </si>
  <si>
    <t>u [mm]</t>
  </si>
  <si>
    <t>kx [kN/mm]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</si>
</sst>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6.6"/>
      <color theme="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11"/>
      <color theme="1"/>
      <name val="Symbol"/>
      <family val="1"/>
      <charset val="2"/>
    </font>
    <font>
      <sz val="10"/>
      <color indexed="12"/>
      <name val="Arial"/>
      <family val="2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12">
    <xf numFmtId="0" fontId="0" fillId="0" borderId="0" xfId="0"/>
    <xf numFmtId="0" fontId="0" fillId="0" borderId="0" xfId="0" applyAlignment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 applyAlignment="1"/>
    <xf numFmtId="0" fontId="0" fillId="0" borderId="7" xfId="0" applyBorder="1"/>
    <xf numFmtId="0" fontId="0" fillId="0" borderId="8" xfId="0" applyBorder="1"/>
    <xf numFmtId="0" fontId="0" fillId="0" borderId="9" xfId="0" applyFill="1" applyBorder="1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" xfId="0" applyBorder="1"/>
    <xf numFmtId="0" fontId="0" fillId="0" borderId="3" xfId="0" applyBorder="1"/>
    <xf numFmtId="0" fontId="0" fillId="0" borderId="19" xfId="0" applyBorder="1"/>
    <xf numFmtId="0" fontId="0" fillId="4" borderId="20" xfId="0" applyFill="1" applyBorder="1"/>
    <xf numFmtId="0" fontId="0" fillId="4" borderId="21" xfId="0" applyFill="1" applyBorder="1"/>
    <xf numFmtId="0" fontId="0" fillId="4" borderId="22" xfId="0" applyFill="1" applyBorder="1"/>
    <xf numFmtId="0" fontId="3" fillId="3" borderId="6" xfId="0" applyFont="1" applyFill="1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0" xfId="0" applyBorder="1"/>
    <xf numFmtId="0" fontId="0" fillId="0" borderId="22" xfId="0" applyBorder="1"/>
    <xf numFmtId="0" fontId="0" fillId="4" borderId="13" xfId="0" applyFill="1" applyBorder="1"/>
    <xf numFmtId="0" fontId="0" fillId="4" borderId="25" xfId="0" applyFill="1" applyBorder="1"/>
    <xf numFmtId="2" fontId="0" fillId="4" borderId="14" xfId="0" applyNumberFormat="1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0" borderId="0" xfId="0" applyFill="1" applyBorder="1"/>
    <xf numFmtId="2" fontId="0" fillId="0" borderId="21" xfId="0" applyNumberFormat="1" applyBorder="1"/>
    <xf numFmtId="0" fontId="0" fillId="0" borderId="21" xfId="0" applyBorder="1"/>
    <xf numFmtId="2" fontId="0" fillId="0" borderId="0" xfId="0" applyNumberFormat="1" applyBorder="1"/>
    <xf numFmtId="2" fontId="0" fillId="5" borderId="21" xfId="0" applyNumberFormat="1" applyFill="1" applyBorder="1"/>
    <xf numFmtId="0" fontId="0" fillId="3" borderId="26" xfId="0" applyFill="1" applyBorder="1"/>
    <xf numFmtId="0" fontId="3" fillId="3" borderId="27" xfId="0" applyFont="1" applyFill="1" applyBorder="1" applyAlignment="1">
      <alignment horizontal="center"/>
    </xf>
    <xf numFmtId="2" fontId="0" fillId="0" borderId="17" xfId="0" applyNumberFormat="1" applyBorder="1"/>
    <xf numFmtId="0" fontId="2" fillId="2" borderId="4" xfId="0" applyFont="1" applyFill="1" applyBorder="1"/>
    <xf numFmtId="0" fontId="2" fillId="2" borderId="26" xfId="0" applyFont="1" applyFill="1" applyBorder="1"/>
    <xf numFmtId="0" fontId="2" fillId="2" borderId="27" xfId="0" applyFont="1" applyFill="1" applyBorder="1"/>
    <xf numFmtId="0" fontId="0" fillId="3" borderId="28" xfId="0" applyFill="1" applyBorder="1"/>
    <xf numFmtId="2" fontId="0" fillId="0" borderId="18" xfId="0" applyNumberFormat="1" applyBorder="1"/>
    <xf numFmtId="0" fontId="0" fillId="3" borderId="29" xfId="0" applyFill="1" applyBorder="1"/>
    <xf numFmtId="0" fontId="0" fillId="3" borderId="16" xfId="0" applyFill="1" applyBorder="1"/>
    <xf numFmtId="0" fontId="0" fillId="3" borderId="30" xfId="0" applyFill="1" applyBorder="1"/>
    <xf numFmtId="2" fontId="6" fillId="5" borderId="21" xfId="0" applyNumberFormat="1" applyFont="1" applyFill="1" applyBorder="1"/>
    <xf numFmtId="2" fontId="0" fillId="0" borderId="22" xfId="0" applyNumberFormat="1" applyBorder="1"/>
    <xf numFmtId="0" fontId="0" fillId="3" borderId="23" xfId="0" applyFill="1" applyBorder="1"/>
    <xf numFmtId="0" fontId="0" fillId="3" borderId="31" xfId="0" applyFill="1" applyBorder="1"/>
    <xf numFmtId="0" fontId="0" fillId="3" borderId="24" xfId="0" applyFill="1" applyBorder="1"/>
    <xf numFmtId="0" fontId="0" fillId="0" borderId="17" xfId="0" applyBorder="1" applyAlignment="1">
      <alignment horizontal="center"/>
    </xf>
    <xf numFmtId="0" fontId="1" fillId="0" borderId="17" xfId="0" applyFont="1" applyBorder="1"/>
    <xf numFmtId="0" fontId="1" fillId="0" borderId="17" xfId="0" applyFont="1" applyBorder="1" applyAlignment="1">
      <alignment horizontal="center"/>
    </xf>
    <xf numFmtId="0" fontId="0" fillId="0" borderId="35" xfId="0" applyBorder="1"/>
    <xf numFmtId="2" fontId="0" fillId="0" borderId="11" xfId="0" applyNumberFormat="1" applyBorder="1"/>
    <xf numFmtId="2" fontId="0" fillId="0" borderId="12" xfId="0" applyNumberFormat="1" applyBorder="1"/>
    <xf numFmtId="2" fontId="0" fillId="4" borderId="21" xfId="0" applyNumberFormat="1" applyFill="1" applyBorder="1"/>
    <xf numFmtId="2" fontId="0" fillId="4" borderId="22" xfId="0" applyNumberFormat="1" applyFill="1" applyBorder="1"/>
    <xf numFmtId="0" fontId="6" fillId="0" borderId="0" xfId="0" applyFont="1" applyBorder="1"/>
    <xf numFmtId="2" fontId="6" fillId="0" borderId="0" xfId="0" applyNumberFormat="1" applyFont="1" applyBorder="1"/>
    <xf numFmtId="0" fontId="0" fillId="0" borderId="42" xfId="0" applyBorder="1"/>
    <xf numFmtId="2" fontId="0" fillId="0" borderId="35" xfId="0" applyNumberFormat="1" applyBorder="1"/>
    <xf numFmtId="0" fontId="0" fillId="0" borderId="43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0" xfId="0" applyBorder="1" applyAlignment="1"/>
    <xf numFmtId="0" fontId="0" fillId="0" borderId="25" xfId="0" applyBorder="1"/>
    <xf numFmtId="0" fontId="0" fillId="4" borderId="16" xfId="0" applyFill="1" applyBorder="1"/>
    <xf numFmtId="0" fontId="0" fillId="4" borderId="18" xfId="0" applyFill="1" applyBorder="1"/>
    <xf numFmtId="0" fontId="0" fillId="3" borderId="23" xfId="0" applyFill="1" applyBorder="1" applyAlignment="1">
      <alignment horizontal="center"/>
    </xf>
    <xf numFmtId="0" fontId="0" fillId="0" borderId="44" xfId="0" applyBorder="1"/>
    <xf numFmtId="0" fontId="0" fillId="3" borderId="4" xfId="0" applyFill="1" applyBorder="1" applyAlignment="1">
      <alignment horizontal="center"/>
    </xf>
    <xf numFmtId="2" fontId="0" fillId="0" borderId="41" xfId="0" applyNumberFormat="1" applyBorder="1"/>
    <xf numFmtId="2" fontId="0" fillId="0" borderId="6" xfId="0" applyNumberFormat="1" applyBorder="1"/>
    <xf numFmtId="0" fontId="0" fillId="3" borderId="49" xfId="0" applyFill="1" applyBorder="1" applyAlignment="1">
      <alignment horizontal="center"/>
    </xf>
    <xf numFmtId="2" fontId="0" fillId="0" borderId="46" xfId="0" applyNumberFormat="1" applyBorder="1"/>
    <xf numFmtId="2" fontId="0" fillId="0" borderId="14" xfId="0" applyNumberFormat="1" applyBorder="1"/>
    <xf numFmtId="2" fontId="0" fillId="0" borderId="8" xfId="0" applyNumberFormat="1" applyBorder="1"/>
    <xf numFmtId="0" fontId="6" fillId="0" borderId="10" xfId="0" applyFont="1" applyBorder="1"/>
    <xf numFmtId="2" fontId="6" fillId="0" borderId="12" xfId="0" applyNumberFormat="1" applyFont="1" applyBorder="1"/>
    <xf numFmtId="0" fontId="6" fillId="0" borderId="16" xfId="0" applyFont="1" applyBorder="1"/>
    <xf numFmtId="2" fontId="6" fillId="0" borderId="18" xfId="0" applyNumberFormat="1" applyFont="1" applyBorder="1"/>
    <xf numFmtId="0" fontId="6" fillId="4" borderId="20" xfId="0" applyFont="1" applyFill="1" applyBorder="1"/>
    <xf numFmtId="2" fontId="6" fillId="4" borderId="22" xfId="0" applyNumberFormat="1" applyFont="1" applyFill="1" applyBorder="1"/>
    <xf numFmtId="0" fontId="0" fillId="4" borderId="23" xfId="0" applyFill="1" applyBorder="1" applyAlignment="1">
      <alignment horizontal="center"/>
    </xf>
    <xf numFmtId="0" fontId="0" fillId="4" borderId="51" xfId="0" applyFill="1" applyBorder="1" applyAlignment="1">
      <alignment horizontal="center"/>
    </xf>
    <xf numFmtId="2" fontId="0" fillId="4" borderId="31" xfId="0" applyNumberFormat="1" applyFill="1" applyBorder="1"/>
    <xf numFmtId="2" fontId="0" fillId="4" borderId="24" xfId="0" applyNumberFormat="1" applyFill="1" applyBorder="1"/>
    <xf numFmtId="0" fontId="0" fillId="4" borderId="20" xfId="0" applyFill="1" applyBorder="1" applyAlignment="1">
      <alignment horizontal="center"/>
    </xf>
    <xf numFmtId="2" fontId="0" fillId="4" borderId="34" xfId="0" applyNumberFormat="1" applyFill="1" applyBorder="1"/>
    <xf numFmtId="0" fontId="0" fillId="3" borderId="6" xfId="0" applyFill="1" applyBorder="1"/>
    <xf numFmtId="0" fontId="0" fillId="0" borderId="10" xfId="0" applyBorder="1" applyAlignment="1">
      <alignment horizontal="right"/>
    </xf>
    <xf numFmtId="0" fontId="0" fillId="0" borderId="20" xfId="0" applyBorder="1" applyAlignment="1">
      <alignment horizontal="right"/>
    </xf>
    <xf numFmtId="2" fontId="1" fillId="0" borderId="17" xfId="0" applyNumberFormat="1" applyFont="1" applyBorder="1"/>
    <xf numFmtId="165" fontId="0" fillId="0" borderId="18" xfId="0" applyNumberFormat="1" applyBorder="1"/>
    <xf numFmtId="2" fontId="1" fillId="0" borderId="18" xfId="0" applyNumberFormat="1" applyFont="1" applyBorder="1"/>
    <xf numFmtId="0" fontId="0" fillId="0" borderId="2" xfId="0" applyBorder="1"/>
    <xf numFmtId="164" fontId="0" fillId="0" borderId="17" xfId="0" applyNumberFormat="1" applyBorder="1"/>
    <xf numFmtId="2" fontId="0" fillId="0" borderId="16" xfId="0" applyNumberFormat="1" applyBorder="1"/>
    <xf numFmtId="2" fontId="0" fillId="0" borderId="17" xfId="0" applyNumberFormat="1" applyBorder="1" applyAlignment="1">
      <alignment horizontal="center"/>
    </xf>
    <xf numFmtId="2" fontId="1" fillId="0" borderId="17" xfId="0" applyNumberFormat="1" applyFont="1" applyBorder="1" applyAlignment="1">
      <alignment horizontal="center"/>
    </xf>
    <xf numFmtId="2" fontId="0" fillId="4" borderId="36" xfId="0" applyNumberFormat="1" applyFill="1" applyBorder="1"/>
    <xf numFmtId="0" fontId="0" fillId="3" borderId="17" xfId="0" applyFill="1" applyBorder="1" applyAlignment="1">
      <alignment horizontal="center"/>
    </xf>
    <xf numFmtId="0" fontId="0" fillId="3" borderId="17" xfId="0" applyFill="1" applyBorder="1"/>
    <xf numFmtId="2" fontId="2" fillId="4" borderId="52" xfId="0" applyNumberFormat="1" applyFont="1" applyFill="1" applyBorder="1"/>
    <xf numFmtId="2" fontId="2" fillId="4" borderId="17" xfId="0" applyNumberFormat="1" applyFont="1" applyFill="1" applyBorder="1"/>
    <xf numFmtId="0" fontId="0" fillId="6" borderId="0" xfId="0" applyFill="1"/>
    <xf numFmtId="0" fontId="8" fillId="3" borderId="16" xfId="0" applyFont="1" applyFill="1" applyBorder="1"/>
    <xf numFmtId="0" fontId="8" fillId="3" borderId="20" xfId="0" applyFont="1" applyFill="1" applyBorder="1"/>
    <xf numFmtId="0" fontId="2" fillId="3" borderId="44" xfId="0" applyFont="1" applyFill="1" applyBorder="1"/>
    <xf numFmtId="164" fontId="0" fillId="0" borderId="44" xfId="0" applyNumberFormat="1" applyBorder="1" applyAlignment="1">
      <alignment horizontal="left" indent="14"/>
    </xf>
    <xf numFmtId="0" fontId="0" fillId="3" borderId="50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0" borderId="49" xfId="0" applyBorder="1"/>
    <xf numFmtId="2" fontId="0" fillId="0" borderId="33" xfId="0" applyNumberFormat="1" applyFill="1" applyBorder="1"/>
    <xf numFmtId="0" fontId="0" fillId="0" borderId="53" xfId="0" applyBorder="1"/>
    <xf numFmtId="0" fontId="0" fillId="4" borderId="1" xfId="0" applyFill="1" applyBorder="1"/>
    <xf numFmtId="0" fontId="0" fillId="4" borderId="5" xfId="0" applyFill="1" applyBorder="1"/>
    <xf numFmtId="2" fontId="0" fillId="4" borderId="5" xfId="0" applyNumberFormat="1" applyFill="1" applyBorder="1"/>
    <xf numFmtId="2" fontId="0" fillId="4" borderId="6" xfId="0" applyNumberFormat="1" applyFill="1" applyBorder="1"/>
    <xf numFmtId="164" fontId="0" fillId="0" borderId="0" xfId="0" applyNumberFormat="1" applyBorder="1"/>
    <xf numFmtId="0" fontId="0" fillId="5" borderId="0" xfId="0" applyFill="1" applyBorder="1" applyAlignment="1"/>
    <xf numFmtId="0" fontId="0" fillId="4" borderId="49" xfId="0" applyFill="1" applyBorder="1"/>
    <xf numFmtId="4" fontId="0" fillId="0" borderId="52" xfId="0" applyNumberFormat="1" applyBorder="1"/>
    <xf numFmtId="4" fontId="0" fillId="0" borderId="17" xfId="0" applyNumberFormat="1" applyBorder="1"/>
    <xf numFmtId="0" fontId="0" fillId="4" borderId="54" xfId="0" applyFill="1" applyBorder="1"/>
    <xf numFmtId="0" fontId="0" fillId="4" borderId="55" xfId="0" applyFill="1" applyBorder="1"/>
    <xf numFmtId="4" fontId="0" fillId="0" borderId="21" xfId="0" applyNumberFormat="1" applyBorder="1"/>
    <xf numFmtId="0" fontId="0" fillId="4" borderId="56" xfId="0" applyFill="1" applyBorder="1"/>
    <xf numFmtId="4" fontId="0" fillId="0" borderId="0" xfId="0" applyNumberFormat="1" applyBorder="1"/>
    <xf numFmtId="4" fontId="2" fillId="4" borderId="44" xfId="0" applyNumberFormat="1" applyFont="1" applyFill="1" applyBorder="1"/>
    <xf numFmtId="0" fontId="0" fillId="3" borderId="45" xfId="0" applyFill="1" applyBorder="1"/>
    <xf numFmtId="0" fontId="0" fillId="3" borderId="46" xfId="0" applyFill="1" applyBorder="1"/>
    <xf numFmtId="0" fontId="0" fillId="3" borderId="47" xfId="0" applyFill="1" applyBorder="1"/>
    <xf numFmtId="2" fontId="0" fillId="0" borderId="7" xfId="0" applyNumberFormat="1" applyBorder="1"/>
    <xf numFmtId="2" fontId="0" fillId="0" borderId="25" xfId="0" applyNumberFormat="1" applyBorder="1"/>
    <xf numFmtId="2" fontId="0" fillId="0" borderId="0" xfId="0" applyNumberFormat="1"/>
    <xf numFmtId="2" fontId="0" fillId="4" borderId="44" xfId="0" applyNumberFormat="1" applyFill="1" applyBorder="1"/>
    <xf numFmtId="0" fontId="0" fillId="4" borderId="47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0" borderId="8" xfId="0" applyBorder="1" applyAlignment="1">
      <alignment horizontal="right"/>
    </xf>
    <xf numFmtId="2" fontId="0" fillId="3" borderId="0" xfId="0" applyNumberFormat="1" applyFill="1" applyBorder="1"/>
    <xf numFmtId="2" fontId="0" fillId="3" borderId="8" xfId="0" applyNumberFormat="1" applyFill="1" applyBorder="1"/>
    <xf numFmtId="2" fontId="0" fillId="8" borderId="8" xfId="0" applyNumberFormat="1" applyFill="1" applyBorder="1"/>
    <xf numFmtId="2" fontId="0" fillId="8" borderId="25" xfId="0" applyNumberFormat="1" applyFill="1" applyBorder="1"/>
    <xf numFmtId="2" fontId="0" fillId="3" borderId="14" xfId="0" applyNumberFormat="1" applyFill="1" applyBorder="1"/>
    <xf numFmtId="0" fontId="0" fillId="4" borderId="9" xfId="0" applyFill="1" applyBorder="1" applyAlignment="1">
      <alignment horizontal="center"/>
    </xf>
    <xf numFmtId="2" fontId="0" fillId="0" borderId="47" xfId="0" applyNumberFormat="1" applyBorder="1" applyAlignment="1">
      <alignment horizontal="left"/>
    </xf>
    <xf numFmtId="0" fontId="0" fillId="0" borderId="9" xfId="0" applyBorder="1" applyAlignment="1">
      <alignment horizontal="center"/>
    </xf>
    <xf numFmtId="0" fontId="0" fillId="4" borderId="19" xfId="0" applyFill="1" applyBorder="1" applyAlignment="1">
      <alignment horizontal="center"/>
    </xf>
    <xf numFmtId="2" fontId="0" fillId="0" borderId="14" xfId="0" applyNumberFormat="1" applyBorder="1" applyAlignment="1">
      <alignment horizontal="left"/>
    </xf>
    <xf numFmtId="0" fontId="0" fillId="0" borderId="19" xfId="0" applyBorder="1" applyAlignment="1">
      <alignment horizontal="center"/>
    </xf>
    <xf numFmtId="2" fontId="0" fillId="0" borderId="45" xfId="0" applyNumberFormat="1" applyBorder="1"/>
    <xf numFmtId="0" fontId="0" fillId="0" borderId="0" xfId="0" applyAlignment="1">
      <alignment horizontal="right"/>
    </xf>
    <xf numFmtId="0" fontId="2" fillId="7" borderId="57" xfId="0" applyFont="1" applyFill="1" applyBorder="1" applyAlignment="1">
      <alignment horizontal="center"/>
    </xf>
    <xf numFmtId="2" fontId="0" fillId="0" borderId="44" xfId="0" applyNumberFormat="1" applyBorder="1"/>
    <xf numFmtId="2" fontId="0" fillId="0" borderId="3" xfId="0" applyNumberFormat="1" applyBorder="1" applyAlignment="1">
      <alignment horizontal="right"/>
    </xf>
    <xf numFmtId="2" fontId="0" fillId="0" borderId="14" xfId="0" applyNumberFormat="1" applyBorder="1" applyAlignment="1">
      <alignment horizontal="right"/>
    </xf>
    <xf numFmtId="2" fontId="0" fillId="0" borderId="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2" fontId="0" fillId="3" borderId="7" xfId="0" applyNumberFormat="1" applyFill="1" applyBorder="1"/>
    <xf numFmtId="2" fontId="0" fillId="8" borderId="7" xfId="0" applyNumberFormat="1" applyFill="1" applyBorder="1"/>
    <xf numFmtId="2" fontId="0" fillId="8" borderId="13" xfId="0" applyNumberFormat="1" applyFill="1" applyBorder="1"/>
    <xf numFmtId="2" fontId="0" fillId="0" borderId="1" xfId="0" applyNumberFormat="1" applyBorder="1"/>
    <xf numFmtId="2" fontId="0" fillId="0" borderId="9" xfId="0" applyNumberFormat="1" applyBorder="1"/>
    <xf numFmtId="2" fontId="0" fillId="0" borderId="15" xfId="0" applyNumberFormat="1" applyBorder="1"/>
    <xf numFmtId="2" fontId="0" fillId="0" borderId="19" xfId="0" applyNumberFormat="1" applyBorder="1"/>
    <xf numFmtId="0" fontId="0" fillId="0" borderId="9" xfId="0" applyBorder="1"/>
    <xf numFmtId="0" fontId="0" fillId="0" borderId="0" xfId="0" applyAlignment="1">
      <alignment horizontal="center"/>
    </xf>
    <xf numFmtId="0" fontId="0" fillId="4" borderId="50" xfId="0" applyFill="1" applyBorder="1" applyAlignment="1">
      <alignment horizontal="center"/>
    </xf>
    <xf numFmtId="0" fontId="0" fillId="4" borderId="26" xfId="0" applyFill="1" applyBorder="1"/>
    <xf numFmtId="0" fontId="0" fillId="4" borderId="48" xfId="0" applyFill="1" applyBorder="1"/>
    <xf numFmtId="0" fontId="0" fillId="4" borderId="45" xfId="0" applyFill="1" applyBorder="1"/>
    <xf numFmtId="0" fontId="0" fillId="4" borderId="9" xfId="0" applyFill="1" applyBorder="1"/>
    <xf numFmtId="0" fontId="0" fillId="4" borderId="47" xfId="0" applyFill="1" applyBorder="1"/>
    <xf numFmtId="0" fontId="0" fillId="0" borderId="17" xfId="0" applyBorder="1" applyAlignment="1">
      <alignment horizontal="center"/>
    </xf>
    <xf numFmtId="0" fontId="0" fillId="0" borderId="17" xfId="0" applyBorder="1" applyAlignment="1">
      <alignment horizontal="left"/>
    </xf>
    <xf numFmtId="164" fontId="0" fillId="0" borderId="11" xfId="0" applyNumberFormat="1" applyBorder="1"/>
    <xf numFmtId="164" fontId="0" fillId="0" borderId="21" xfId="0" applyNumberFormat="1" applyBorder="1"/>
    <xf numFmtId="2" fontId="0" fillId="5" borderId="17" xfId="0" applyNumberFormat="1" applyFill="1" applyBorder="1"/>
    <xf numFmtId="2" fontId="0" fillId="5" borderId="18" xfId="0" applyNumberFormat="1" applyFill="1" applyBorder="1"/>
    <xf numFmtId="2" fontId="0" fillId="5" borderId="22" xfId="0" applyNumberFormat="1" applyFill="1" applyBorder="1"/>
    <xf numFmtId="0" fontId="0" fillId="0" borderId="51" xfId="0" applyBorder="1"/>
    <xf numFmtId="2" fontId="0" fillId="0" borderId="52" xfId="0" applyNumberFormat="1" applyBorder="1"/>
    <xf numFmtId="2" fontId="0" fillId="5" borderId="52" xfId="0" applyNumberFormat="1" applyFill="1" applyBorder="1"/>
    <xf numFmtId="2" fontId="0" fillId="5" borderId="33" xfId="0" applyNumberFormat="1" applyFill="1" applyBorder="1"/>
    <xf numFmtId="0" fontId="0" fillId="0" borderId="17" xfId="0" applyBorder="1" applyAlignment="1">
      <alignment horizontal="right"/>
    </xf>
    <xf numFmtId="0" fontId="0" fillId="4" borderId="0" xfId="0" applyFill="1"/>
    <xf numFmtId="164" fontId="0" fillId="4" borderId="0" xfId="0" applyNumberFormat="1" applyFill="1"/>
    <xf numFmtId="0" fontId="0" fillId="7" borderId="58" xfId="0" applyFill="1" applyBorder="1" applyAlignment="1">
      <alignment horizontal="center"/>
    </xf>
    <xf numFmtId="2" fontId="0" fillId="7" borderId="57" xfId="0" applyNumberFormat="1" applyFill="1" applyBorder="1"/>
    <xf numFmtId="0" fontId="0" fillId="7" borderId="52" xfId="0" applyFill="1" applyBorder="1"/>
    <xf numFmtId="0" fontId="0" fillId="7" borderId="0" xfId="0" applyFill="1" applyAlignment="1">
      <alignment horizontal="center"/>
    </xf>
    <xf numFmtId="2" fontId="0" fillId="7" borderId="0" xfId="0" applyNumberFormat="1" applyFill="1"/>
    <xf numFmtId="0" fontId="0" fillId="7" borderId="0" xfId="0" applyFill="1"/>
    <xf numFmtId="2" fontId="0" fillId="0" borderId="0" xfId="0" applyNumberFormat="1" applyBorder="1" applyAlignment="1"/>
    <xf numFmtId="0" fontId="0" fillId="0" borderId="38" xfId="0" applyBorder="1"/>
    <xf numFmtId="2" fontId="0" fillId="4" borderId="0" xfId="0" applyNumberFormat="1" applyFill="1"/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165" fontId="10" fillId="0" borderId="0" xfId="0" applyNumberFormat="1" applyFont="1" applyAlignment="1">
      <alignment horizontal="center" vertical="center"/>
    </xf>
    <xf numFmtId="0" fontId="0" fillId="0" borderId="59" xfId="0" applyBorder="1"/>
    <xf numFmtId="0" fontId="0" fillId="0" borderId="37" xfId="0" applyBorder="1"/>
    <xf numFmtId="0" fontId="0" fillId="0" borderId="40" xfId="0" applyBorder="1"/>
    <xf numFmtId="2" fontId="0" fillId="0" borderId="40" xfId="0" applyNumberFormat="1" applyBorder="1"/>
    <xf numFmtId="2" fontId="0" fillId="0" borderId="59" xfId="0" applyNumberFormat="1" applyBorder="1"/>
    <xf numFmtId="0" fontId="0" fillId="0" borderId="39" xfId="0" applyBorder="1"/>
    <xf numFmtId="2" fontId="6" fillId="8" borderId="17" xfId="0" applyNumberFormat="1" applyFont="1" applyFill="1" applyBorder="1"/>
    <xf numFmtId="0" fontId="2" fillId="0" borderId="17" xfId="0" applyFont="1" applyBorder="1"/>
    <xf numFmtId="2" fontId="6" fillId="7" borderId="17" xfId="0" applyNumberFormat="1" applyFont="1" applyFill="1" applyBorder="1"/>
    <xf numFmtId="2" fontId="6" fillId="5" borderId="0" xfId="0" applyNumberFormat="1" applyFont="1" applyFill="1"/>
    <xf numFmtId="0" fontId="0" fillId="8" borderId="0" xfId="0" applyFill="1"/>
    <xf numFmtId="2" fontId="6" fillId="5" borderId="0" xfId="0" applyNumberFormat="1" applyFont="1" applyFill="1" applyBorder="1"/>
    <xf numFmtId="2" fontId="0" fillId="0" borderId="37" xfId="0" applyNumberFormat="1" applyBorder="1"/>
    <xf numFmtId="2" fontId="6" fillId="8" borderId="11" xfId="0" applyNumberFormat="1" applyFont="1" applyFill="1" applyBorder="1"/>
    <xf numFmtId="2" fontId="6" fillId="8" borderId="52" xfId="0" applyNumberFormat="1" applyFont="1" applyFill="1" applyBorder="1"/>
    <xf numFmtId="2" fontId="6" fillId="7" borderId="52" xfId="0" applyNumberFormat="1" applyFont="1" applyFill="1" applyBorder="1"/>
    <xf numFmtId="2" fontId="0" fillId="0" borderId="39" xfId="0" applyNumberFormat="1" applyBorder="1"/>
    <xf numFmtId="2" fontId="0" fillId="8" borderId="0" xfId="0" applyNumberFormat="1" applyFill="1"/>
    <xf numFmtId="0" fontId="11" fillId="8" borderId="17" xfId="0" applyFont="1" applyFill="1" applyBorder="1"/>
    <xf numFmtId="0" fontId="2" fillId="8" borderId="17" xfId="0" applyFont="1" applyFill="1" applyBorder="1"/>
    <xf numFmtId="2" fontId="0" fillId="8" borderId="17" xfId="0" applyNumberFormat="1" applyFill="1" applyBorder="1"/>
    <xf numFmtId="2" fontId="0" fillId="7" borderId="17" xfId="0" applyNumberFormat="1" applyFill="1" applyBorder="1"/>
    <xf numFmtId="0" fontId="11" fillId="7" borderId="17" xfId="0" applyFont="1" applyFill="1" applyBorder="1"/>
    <xf numFmtId="0" fontId="0" fillId="4" borderId="33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44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0" fillId="0" borderId="58" xfId="0" applyNumberFormat="1" applyBorder="1"/>
    <xf numFmtId="0" fontId="0" fillId="0" borderId="17" xfId="0" applyBorder="1" applyAlignment="1">
      <alignment horizontal="center"/>
    </xf>
    <xf numFmtId="2" fontId="0" fillId="0" borderId="13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30" xfId="0" applyFont="1" applyFill="1" applyBorder="1" applyAlignment="1">
      <alignment horizontal="center"/>
    </xf>
    <xf numFmtId="0" fontId="2" fillId="4" borderId="32" xfId="0" applyFont="1" applyFill="1" applyBorder="1" applyAlignment="1">
      <alignment horizontal="center"/>
    </xf>
    <xf numFmtId="0" fontId="2" fillId="4" borderId="33" xfId="0" applyFont="1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2" fillId="3" borderId="45" xfId="0" applyFont="1" applyFill="1" applyBorder="1" applyAlignment="1">
      <alignment horizontal="center"/>
    </xf>
    <xf numFmtId="0" fontId="2" fillId="3" borderId="46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/>
    </xf>
    <xf numFmtId="0" fontId="0" fillId="4" borderId="45" xfId="0" applyFill="1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0" fillId="3" borderId="13" xfId="0" applyFont="1" applyFill="1" applyBorder="1" applyAlignment="1">
      <alignment horizontal="center"/>
    </xf>
    <xf numFmtId="0" fontId="0" fillId="3" borderId="1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2" fontId="2" fillId="4" borderId="30" xfId="0" applyNumberFormat="1" applyFont="1" applyFill="1" applyBorder="1" applyAlignment="1">
      <alignment horizontal="center"/>
    </xf>
    <xf numFmtId="2" fontId="2" fillId="4" borderId="32" xfId="0" applyNumberFormat="1" applyFont="1" applyFill="1" applyBorder="1" applyAlignment="1">
      <alignment horizontal="center"/>
    </xf>
    <xf numFmtId="2" fontId="2" fillId="4" borderId="33" xfId="0" applyNumberFormat="1" applyFont="1" applyFill="1" applyBorder="1" applyAlignment="1">
      <alignment horizontal="center"/>
    </xf>
    <xf numFmtId="2" fontId="0" fillId="4" borderId="25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21</xdr:row>
      <xdr:rowOff>180975</xdr:rowOff>
    </xdr:from>
    <xdr:ext cx="65" cy="172227"/>
    <xdr:sp macro="" textlink="">
      <xdr:nvSpPr>
        <xdr:cNvPr id="2" name="CasellaDiTesto 1"/>
        <xdr:cNvSpPr txBox="1"/>
      </xdr:nvSpPr>
      <xdr:spPr>
        <a:xfrm>
          <a:off x="1733550" y="4238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it-IT" sz="1100"/>
        </a:p>
      </xdr:txBody>
    </xdr:sp>
    <xdr:clientData/>
  </xdr:oneCellAnchor>
  <xdr:twoCellAnchor editAs="oneCell">
    <xdr:from>
      <xdr:col>0</xdr:col>
      <xdr:colOff>0</xdr:colOff>
      <xdr:row>79</xdr:row>
      <xdr:rowOff>0</xdr:rowOff>
    </xdr:from>
    <xdr:to>
      <xdr:col>3</xdr:col>
      <xdr:colOff>342214</xdr:colOff>
      <xdr:row>100</xdr:row>
      <xdr:rowOff>161405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478125"/>
          <a:ext cx="5485714" cy="4161905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7</xdr:col>
      <xdr:colOff>227929</xdr:colOff>
      <xdr:row>100</xdr:row>
      <xdr:rowOff>151905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58000" y="15668625"/>
          <a:ext cx="5371429" cy="39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21</xdr:row>
      <xdr:rowOff>180975</xdr:rowOff>
    </xdr:from>
    <xdr:ext cx="65" cy="172227"/>
    <xdr:sp macro="" textlink="">
      <xdr:nvSpPr>
        <xdr:cNvPr id="2" name="CasellaDiTesto 1"/>
        <xdr:cNvSpPr txBox="1"/>
      </xdr:nvSpPr>
      <xdr:spPr>
        <a:xfrm>
          <a:off x="1733550" y="4305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it-IT" sz="1100"/>
        </a:p>
      </xdr:txBody>
    </xdr:sp>
    <xdr:clientData/>
  </xdr:oneCellAnchor>
  <xdr:twoCellAnchor editAs="oneCell">
    <xdr:from>
      <xdr:col>0</xdr:col>
      <xdr:colOff>0</xdr:colOff>
      <xdr:row>79</xdr:row>
      <xdr:rowOff>0</xdr:rowOff>
    </xdr:from>
    <xdr:to>
      <xdr:col>3</xdr:col>
      <xdr:colOff>342214</xdr:colOff>
      <xdr:row>100</xdr:row>
      <xdr:rowOff>161405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478125"/>
          <a:ext cx="5485714" cy="4161905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7</xdr:col>
      <xdr:colOff>227929</xdr:colOff>
      <xdr:row>100</xdr:row>
      <xdr:rowOff>151905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58000" y="15668625"/>
          <a:ext cx="5371429" cy="39619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21</xdr:row>
      <xdr:rowOff>180975</xdr:rowOff>
    </xdr:from>
    <xdr:ext cx="65" cy="172227"/>
    <xdr:sp macro="" textlink="">
      <xdr:nvSpPr>
        <xdr:cNvPr id="2" name="CasellaDiTesto 1"/>
        <xdr:cNvSpPr txBox="1"/>
      </xdr:nvSpPr>
      <xdr:spPr>
        <a:xfrm>
          <a:off x="1733550" y="4305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it-IT" sz="1100"/>
        </a:p>
      </xdr:txBody>
    </xdr:sp>
    <xdr:clientData/>
  </xdr:oneCellAnchor>
  <xdr:twoCellAnchor editAs="oneCell">
    <xdr:from>
      <xdr:col>0</xdr:col>
      <xdr:colOff>0</xdr:colOff>
      <xdr:row>79</xdr:row>
      <xdr:rowOff>0</xdr:rowOff>
    </xdr:from>
    <xdr:to>
      <xdr:col>3</xdr:col>
      <xdr:colOff>342214</xdr:colOff>
      <xdr:row>100</xdr:row>
      <xdr:rowOff>161405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478125"/>
          <a:ext cx="5485714" cy="4161905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7</xdr:col>
      <xdr:colOff>227929</xdr:colOff>
      <xdr:row>100</xdr:row>
      <xdr:rowOff>151905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58000" y="15668625"/>
          <a:ext cx="5371429" cy="39619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21</xdr:row>
      <xdr:rowOff>180975</xdr:rowOff>
    </xdr:from>
    <xdr:ext cx="65" cy="172227"/>
    <xdr:sp macro="" textlink="">
      <xdr:nvSpPr>
        <xdr:cNvPr id="2" name="CasellaDiTesto 1"/>
        <xdr:cNvSpPr txBox="1"/>
      </xdr:nvSpPr>
      <xdr:spPr>
        <a:xfrm>
          <a:off x="1733550" y="4305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it-IT" sz="1100"/>
        </a:p>
      </xdr:txBody>
    </xdr:sp>
    <xdr:clientData/>
  </xdr:oneCellAnchor>
  <xdr:twoCellAnchor editAs="oneCell">
    <xdr:from>
      <xdr:col>0</xdr:col>
      <xdr:colOff>0</xdr:colOff>
      <xdr:row>79</xdr:row>
      <xdr:rowOff>0</xdr:rowOff>
    </xdr:from>
    <xdr:to>
      <xdr:col>3</xdr:col>
      <xdr:colOff>342214</xdr:colOff>
      <xdr:row>100</xdr:row>
      <xdr:rowOff>161405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478125"/>
          <a:ext cx="5485714" cy="4161905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7</xdr:col>
      <xdr:colOff>227929</xdr:colOff>
      <xdr:row>100</xdr:row>
      <xdr:rowOff>151905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58000" y="15668625"/>
          <a:ext cx="5371429" cy="396190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21</xdr:row>
      <xdr:rowOff>180975</xdr:rowOff>
    </xdr:from>
    <xdr:ext cx="65" cy="172227"/>
    <xdr:sp macro="" textlink="">
      <xdr:nvSpPr>
        <xdr:cNvPr id="2" name="CasellaDiTesto 1"/>
        <xdr:cNvSpPr txBox="1"/>
      </xdr:nvSpPr>
      <xdr:spPr>
        <a:xfrm>
          <a:off x="1733550" y="4305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it-IT" sz="1100"/>
        </a:p>
      </xdr:txBody>
    </xdr:sp>
    <xdr:clientData/>
  </xdr:oneCellAnchor>
  <xdr:twoCellAnchor editAs="oneCell">
    <xdr:from>
      <xdr:col>0</xdr:col>
      <xdr:colOff>0</xdr:colOff>
      <xdr:row>79</xdr:row>
      <xdr:rowOff>0</xdr:rowOff>
    </xdr:from>
    <xdr:to>
      <xdr:col>3</xdr:col>
      <xdr:colOff>342214</xdr:colOff>
      <xdr:row>100</xdr:row>
      <xdr:rowOff>161405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478125"/>
          <a:ext cx="5485714" cy="4161905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7</xdr:col>
      <xdr:colOff>227929</xdr:colOff>
      <xdr:row>100</xdr:row>
      <xdr:rowOff>151905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58000" y="15668625"/>
          <a:ext cx="5371429" cy="39619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a_quinto_x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a_secondo_y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a_primo_x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a_primo_y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Analisi_moda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a_mansarda_x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a_mansarda_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a_quinto_y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a_quarto_x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a_quarto_y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a_terzo_x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a_terzo_y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a_secondo_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1"/>
      <sheetName val="pil2"/>
      <sheetName val="pil3"/>
      <sheetName val="pil4"/>
      <sheetName val="pil5"/>
      <sheetName val="pil6"/>
      <sheetName val="pil7"/>
      <sheetName val="pil8"/>
      <sheetName val="pil9"/>
      <sheetName val="pil10"/>
      <sheetName val="pil11"/>
      <sheetName val="pil12"/>
      <sheetName val="pil13"/>
      <sheetName val="pil14"/>
      <sheetName val="pil15"/>
      <sheetName val="pil16"/>
      <sheetName val="pil17"/>
      <sheetName val="pil18"/>
    </sheetNames>
    <sheetDataSet>
      <sheetData sheetId="0">
        <row r="3">
          <cell r="H3">
            <v>30</v>
          </cell>
        </row>
        <row r="4">
          <cell r="H4">
            <v>70</v>
          </cell>
        </row>
        <row r="5">
          <cell r="L5">
            <v>15.876813353667313</v>
          </cell>
        </row>
      </sheetData>
      <sheetData sheetId="1">
        <row r="3">
          <cell r="H3">
            <v>70</v>
          </cell>
        </row>
        <row r="4">
          <cell r="H4">
            <v>30</v>
          </cell>
        </row>
        <row r="5">
          <cell r="L5">
            <v>12.273300752045031</v>
          </cell>
        </row>
      </sheetData>
      <sheetData sheetId="2">
        <row r="3">
          <cell r="H3">
            <v>30</v>
          </cell>
        </row>
        <row r="4">
          <cell r="H4">
            <v>70</v>
          </cell>
        </row>
        <row r="5">
          <cell r="L5">
            <v>15.876813353667313</v>
          </cell>
        </row>
      </sheetData>
      <sheetData sheetId="3">
        <row r="3">
          <cell r="H3">
            <v>70</v>
          </cell>
        </row>
        <row r="4">
          <cell r="H4">
            <v>30</v>
          </cell>
        </row>
        <row r="5">
          <cell r="L5">
            <v>9.2665132321689434</v>
          </cell>
        </row>
      </sheetData>
      <sheetData sheetId="4">
        <row r="3">
          <cell r="H3">
            <v>70</v>
          </cell>
        </row>
        <row r="4">
          <cell r="H4">
            <v>30</v>
          </cell>
        </row>
        <row r="5">
          <cell r="L5">
            <v>12.273300752045031</v>
          </cell>
        </row>
      </sheetData>
      <sheetData sheetId="5">
        <row r="3">
          <cell r="H3">
            <v>30</v>
          </cell>
        </row>
        <row r="4">
          <cell r="H4">
            <v>70</v>
          </cell>
        </row>
        <row r="5">
          <cell r="L5">
            <v>27.36191489649072</v>
          </cell>
        </row>
      </sheetData>
      <sheetData sheetId="6">
        <row r="3">
          <cell r="H3">
            <v>30</v>
          </cell>
        </row>
        <row r="4">
          <cell r="H4">
            <v>70</v>
          </cell>
        </row>
        <row r="5">
          <cell r="L5">
            <v>27.36191489649072</v>
          </cell>
        </row>
      </sheetData>
      <sheetData sheetId="7">
        <row r="3">
          <cell r="H3">
            <v>30</v>
          </cell>
        </row>
        <row r="4">
          <cell r="H4">
            <v>70</v>
          </cell>
        </row>
        <row r="5">
          <cell r="L5">
            <v>15.876813353667313</v>
          </cell>
        </row>
      </sheetData>
      <sheetData sheetId="8">
        <row r="3">
          <cell r="H3">
            <v>70</v>
          </cell>
        </row>
        <row r="4">
          <cell r="H4">
            <v>30</v>
          </cell>
        </row>
        <row r="5">
          <cell r="L5">
            <v>9.2665132321689434</v>
          </cell>
        </row>
      </sheetData>
      <sheetData sheetId="9">
        <row r="3">
          <cell r="H3">
            <v>70</v>
          </cell>
        </row>
        <row r="4">
          <cell r="H4">
            <v>30</v>
          </cell>
        </row>
        <row r="5">
          <cell r="L5">
            <v>12.273300752045031</v>
          </cell>
        </row>
      </sheetData>
      <sheetData sheetId="10">
        <row r="3">
          <cell r="H3">
            <v>30</v>
          </cell>
        </row>
        <row r="4">
          <cell r="H4">
            <v>70</v>
          </cell>
        </row>
        <row r="5">
          <cell r="L5">
            <v>27.36191489649072</v>
          </cell>
        </row>
      </sheetData>
      <sheetData sheetId="11">
        <row r="3">
          <cell r="H3">
            <v>70</v>
          </cell>
        </row>
        <row r="4">
          <cell r="H4">
            <v>30</v>
          </cell>
        </row>
        <row r="5">
          <cell r="L5">
            <v>9.6927244182843317</v>
          </cell>
        </row>
      </sheetData>
      <sheetData sheetId="12">
        <row r="3">
          <cell r="H3">
            <v>70</v>
          </cell>
        </row>
        <row r="4">
          <cell r="H4">
            <v>30</v>
          </cell>
        </row>
        <row r="5">
          <cell r="L5">
            <v>1.691064490631375</v>
          </cell>
        </row>
      </sheetData>
      <sheetData sheetId="13">
        <row r="3">
          <cell r="H3">
            <v>30</v>
          </cell>
        </row>
        <row r="4">
          <cell r="H4">
            <v>70</v>
          </cell>
        </row>
        <row r="5">
          <cell r="L5">
            <v>15.876813353667313</v>
          </cell>
        </row>
      </sheetData>
      <sheetData sheetId="14">
        <row r="3">
          <cell r="H3">
            <v>70</v>
          </cell>
        </row>
        <row r="4">
          <cell r="H4">
            <v>30</v>
          </cell>
        </row>
        <row r="5">
          <cell r="L5">
            <v>12.273300752045031</v>
          </cell>
        </row>
      </sheetData>
      <sheetData sheetId="15">
        <row r="3">
          <cell r="H3">
            <v>70</v>
          </cell>
        </row>
        <row r="4">
          <cell r="H4">
            <v>30</v>
          </cell>
        </row>
        <row r="5">
          <cell r="L5">
            <v>12.273300752045031</v>
          </cell>
        </row>
      </sheetData>
      <sheetData sheetId="16">
        <row r="3">
          <cell r="H3">
            <v>30</v>
          </cell>
        </row>
        <row r="4">
          <cell r="H4">
            <v>70</v>
          </cell>
        </row>
        <row r="5">
          <cell r="L5">
            <v>27.36191489649072</v>
          </cell>
        </row>
      </sheetData>
      <sheetData sheetId="17">
        <row r="3">
          <cell r="H3">
            <v>30</v>
          </cell>
        </row>
        <row r="4">
          <cell r="H4">
            <v>70</v>
          </cell>
        </row>
        <row r="5">
          <cell r="L5">
            <v>15.876813353667313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1"/>
      <sheetName val="pil2"/>
      <sheetName val="pil3"/>
      <sheetName val="pil4"/>
      <sheetName val="pil5"/>
      <sheetName val="pil6"/>
      <sheetName val="pil7"/>
      <sheetName val="pil8"/>
      <sheetName val="pil9"/>
      <sheetName val="pil10"/>
      <sheetName val="pil11"/>
      <sheetName val="pil12"/>
      <sheetName val="pil13"/>
      <sheetName val="pil14"/>
      <sheetName val="pil15"/>
      <sheetName val="pil16"/>
      <sheetName val="pil17"/>
      <sheetName val="pil18"/>
    </sheetNames>
    <sheetDataSet>
      <sheetData sheetId="0">
        <row r="5">
          <cell r="L5">
            <v>1.6186402485426059</v>
          </cell>
        </row>
      </sheetData>
      <sheetData sheetId="1">
        <row r="5">
          <cell r="L5">
            <v>22.197621734747546</v>
          </cell>
        </row>
      </sheetData>
      <sheetData sheetId="2">
        <row r="5">
          <cell r="L5">
            <v>11.113531924153465</v>
          </cell>
        </row>
      </sheetData>
      <sheetData sheetId="3">
        <row r="5">
          <cell r="L5">
            <v>23.251855323175192</v>
          </cell>
        </row>
      </sheetData>
      <sheetData sheetId="4">
        <row r="5">
          <cell r="L5">
            <v>36.258658182989691</v>
          </cell>
        </row>
      </sheetData>
      <sheetData sheetId="5">
        <row r="5">
          <cell r="L5">
            <v>13.791173807607588</v>
          </cell>
        </row>
      </sheetData>
      <sheetData sheetId="6">
        <row r="5">
          <cell r="L5">
            <v>11.113531924153465</v>
          </cell>
        </row>
      </sheetData>
      <sheetData sheetId="7">
        <row r="5">
          <cell r="L5">
            <v>11.113531924153465</v>
          </cell>
        </row>
      </sheetData>
      <sheetData sheetId="8">
        <row r="5">
          <cell r="L5">
            <v>23.251855323175192</v>
          </cell>
        </row>
      </sheetData>
      <sheetData sheetId="9">
        <row r="5">
          <cell r="L5">
            <v>36.258658182989691</v>
          </cell>
        </row>
      </sheetData>
      <sheetData sheetId="10">
        <row r="5">
          <cell r="L5">
            <v>13.791173807607588</v>
          </cell>
        </row>
      </sheetData>
      <sheetData sheetId="11">
        <row r="5">
          <cell r="L5">
            <v>36.258658182989691</v>
          </cell>
        </row>
      </sheetData>
      <sheetData sheetId="12">
        <row r="5">
          <cell r="L5">
            <v>36.258658182989691</v>
          </cell>
        </row>
      </sheetData>
      <sheetData sheetId="13">
        <row r="5">
          <cell r="L5">
            <v>1.6186402485426059</v>
          </cell>
        </row>
      </sheetData>
      <sheetData sheetId="14">
        <row r="5">
          <cell r="L5">
            <v>22.197621734747546</v>
          </cell>
        </row>
      </sheetData>
      <sheetData sheetId="15">
        <row r="5">
          <cell r="L5">
            <v>22.197621734747546</v>
          </cell>
        </row>
      </sheetData>
      <sheetData sheetId="16">
        <row r="5">
          <cell r="L5">
            <v>11.113531924153465</v>
          </cell>
        </row>
      </sheetData>
      <sheetData sheetId="17">
        <row r="5">
          <cell r="L5">
            <v>11.113531924153465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1"/>
      <sheetName val="pil2"/>
      <sheetName val="pil3"/>
      <sheetName val="pil4"/>
      <sheetName val="pil5"/>
      <sheetName val="pil6"/>
      <sheetName val="pil7"/>
      <sheetName val="pil8"/>
      <sheetName val="pil9"/>
      <sheetName val="pil10"/>
      <sheetName val="pil11"/>
      <sheetName val="pil12"/>
      <sheetName val="pil13"/>
      <sheetName val="pil14"/>
      <sheetName val="pil15"/>
      <sheetName val="pil16"/>
      <sheetName val="pil17"/>
      <sheetName val="pil18"/>
    </sheetNames>
    <sheetDataSet>
      <sheetData sheetId="0">
        <row r="5">
          <cell r="L5">
            <v>32.552428674917628</v>
          </cell>
        </row>
      </sheetData>
      <sheetData sheetId="1">
        <row r="5">
          <cell r="L5">
            <v>10.444396181177224</v>
          </cell>
        </row>
      </sheetData>
      <sheetData sheetId="2">
        <row r="5">
          <cell r="L5">
            <v>32.552428674917628</v>
          </cell>
        </row>
      </sheetData>
      <sheetData sheetId="3">
        <row r="5">
          <cell r="L5">
            <v>9.4738376006218186</v>
          </cell>
        </row>
      </sheetData>
      <sheetData sheetId="4">
        <row r="5">
          <cell r="L5">
            <v>10.444396181177224</v>
          </cell>
        </row>
      </sheetData>
      <sheetData sheetId="5">
        <row r="5">
          <cell r="L5">
            <v>40.615533635343475</v>
          </cell>
        </row>
      </sheetData>
      <sheetData sheetId="6">
        <row r="5">
          <cell r="L5">
            <v>40.615533635343475</v>
          </cell>
        </row>
      </sheetData>
      <sheetData sheetId="7">
        <row r="5">
          <cell r="L5">
            <v>32.552428674917628</v>
          </cell>
        </row>
      </sheetData>
      <sheetData sheetId="8">
        <row r="5">
          <cell r="L5">
            <v>9.4738376006218186</v>
          </cell>
        </row>
      </sheetData>
      <sheetData sheetId="9">
        <row r="5">
          <cell r="L5">
            <v>10.444396181177224</v>
          </cell>
        </row>
      </sheetData>
      <sheetData sheetId="10">
        <row r="5">
          <cell r="L5">
            <v>40.615533635343475</v>
          </cell>
        </row>
      </sheetData>
      <sheetData sheetId="11">
        <row r="5">
          <cell r="L5">
            <v>9.574155308288109</v>
          </cell>
        </row>
      </sheetData>
      <sheetData sheetId="12">
        <row r="5">
          <cell r="L5">
            <v>4.2703451581472995</v>
          </cell>
        </row>
      </sheetData>
      <sheetData sheetId="13">
        <row r="5">
          <cell r="L5">
            <v>32.552428674917628</v>
          </cell>
        </row>
      </sheetData>
      <sheetData sheetId="14">
        <row r="5">
          <cell r="L5">
            <v>10.444396181177224</v>
          </cell>
        </row>
      </sheetData>
      <sheetData sheetId="15">
        <row r="5">
          <cell r="L5">
            <v>10.444396181177224</v>
          </cell>
        </row>
      </sheetData>
      <sheetData sheetId="16">
        <row r="5">
          <cell r="L5">
            <v>40.615533635343475</v>
          </cell>
        </row>
      </sheetData>
      <sheetData sheetId="17">
        <row r="5">
          <cell r="L5">
            <v>32.552428674917628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1"/>
      <sheetName val="pil2"/>
      <sheetName val="pil3"/>
      <sheetName val="pil4"/>
      <sheetName val="pil5"/>
      <sheetName val="pil6"/>
      <sheetName val="pil7"/>
      <sheetName val="pil8"/>
      <sheetName val="pil9"/>
      <sheetName val="pil10"/>
      <sheetName val="pil11"/>
      <sheetName val="pil12"/>
      <sheetName val="pil13"/>
      <sheetName val="pil14"/>
      <sheetName val="pil15"/>
      <sheetName val="pil16"/>
      <sheetName val="pil17"/>
      <sheetName val="pil18"/>
    </sheetNames>
    <sheetDataSet>
      <sheetData sheetId="0">
        <row r="5">
          <cell r="L5">
            <v>4.2168030667783087</v>
          </cell>
        </row>
      </sheetData>
      <sheetData sheetId="1">
        <row r="5">
          <cell r="L5">
            <v>32.034162732961583</v>
          </cell>
        </row>
      </sheetData>
      <sheetData sheetId="2">
        <row r="5">
          <cell r="L5">
            <v>9.3915043862933008</v>
          </cell>
        </row>
      </sheetData>
      <sheetData sheetId="3">
        <row r="5">
          <cell r="L5">
            <v>32.683659869451482</v>
          </cell>
        </row>
      </sheetData>
      <sheetData sheetId="4">
        <row r="5">
          <cell r="L5">
            <v>40.037861619309574</v>
          </cell>
        </row>
      </sheetData>
      <sheetData sheetId="5">
        <row r="5">
          <cell r="L5">
            <v>10.389801844567904</v>
          </cell>
        </row>
      </sheetData>
      <sheetData sheetId="6">
        <row r="5">
          <cell r="L5">
            <v>9.3915043862933008</v>
          </cell>
        </row>
      </sheetData>
      <sheetData sheetId="7">
        <row r="5">
          <cell r="L5">
            <v>9.3915043862933008</v>
          </cell>
        </row>
      </sheetData>
      <sheetData sheetId="8">
        <row r="5">
          <cell r="L5">
            <v>32.683659869451482</v>
          </cell>
        </row>
      </sheetData>
      <sheetData sheetId="9">
        <row r="5">
          <cell r="L5">
            <v>40.037861619309574</v>
          </cell>
        </row>
      </sheetData>
      <sheetData sheetId="10">
        <row r="5">
          <cell r="L5">
            <v>10.389801844567904</v>
          </cell>
        </row>
      </sheetData>
      <sheetData sheetId="11">
        <row r="5">
          <cell r="L5">
            <v>40.037861619309574</v>
          </cell>
        </row>
      </sheetData>
      <sheetData sheetId="12">
        <row r="5">
          <cell r="L5">
            <v>40.037861619309574</v>
          </cell>
        </row>
      </sheetData>
      <sheetData sheetId="13">
        <row r="5">
          <cell r="L5">
            <v>4.2168030667783087</v>
          </cell>
        </row>
      </sheetData>
      <sheetData sheetId="14">
        <row r="5">
          <cell r="L5">
            <v>32.034162732961583</v>
          </cell>
        </row>
      </sheetData>
      <sheetData sheetId="15">
        <row r="5">
          <cell r="L5">
            <v>32.034162732961583</v>
          </cell>
        </row>
      </sheetData>
      <sheetData sheetId="16">
        <row r="5">
          <cell r="L5">
            <v>9.3915043862933008</v>
          </cell>
        </row>
      </sheetData>
      <sheetData sheetId="17">
        <row r="5">
          <cell r="L5">
            <v>9.3915043862933008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"/>
      <sheetName val="TabPil"/>
      <sheetName val="prof"/>
      <sheetName val="confronto pilastri"/>
      <sheetName val="SPI"/>
      <sheetName val="confronto spostamenti"/>
      <sheetName val="SPO"/>
      <sheetName val="RIG"/>
      <sheetName val="confronto travi"/>
      <sheetName val="InvTravi"/>
      <sheetName val="pilastro 10"/>
      <sheetName val="nodo 18"/>
      <sheetName val="InvPil"/>
      <sheetName val="Armatura travi"/>
      <sheetName val="pilastro 11"/>
      <sheetName val="pilastro 9"/>
      <sheetName val="pilastro 18"/>
      <sheetName val="trave 2-15"/>
      <sheetName val="TRAVE 17-18"/>
      <sheetName val="trave 9-13"/>
      <sheetName val="TRAVE 4-8"/>
      <sheetName val="TRAVE 1-14"/>
      <sheetName val="trave 1-3"/>
      <sheetName val="TRAVE 3-16"/>
      <sheetName val="trave 7-17"/>
      <sheetName val="TRAVE 8-18"/>
      <sheetName val="TRA"/>
      <sheetName val="Pilastro 16"/>
      <sheetName val="PILASTRO 17"/>
      <sheetName val="Foglio2"/>
      <sheetName val="Foglio3"/>
    </sheetNames>
    <sheetDataSet>
      <sheetData sheetId="0"/>
      <sheetData sheetId="1"/>
      <sheetData sheetId="2"/>
      <sheetData sheetId="3"/>
      <sheetData sheetId="4"/>
      <sheetData sheetId="5">
        <row r="4">
          <cell r="S4">
            <v>15.834989999999999</v>
          </cell>
        </row>
        <row r="5">
          <cell r="S5">
            <v>15.06629</v>
          </cell>
        </row>
        <row r="6">
          <cell r="S6">
            <v>12.764650000000001</v>
          </cell>
        </row>
        <row r="7">
          <cell r="S7">
            <v>9.8510099999999987</v>
          </cell>
        </row>
        <row r="8">
          <cell r="S8">
            <v>6.6314000000000002</v>
          </cell>
        </row>
        <row r="9">
          <cell r="S9">
            <v>3.1308200000000004</v>
          </cell>
        </row>
        <row r="17">
          <cell r="S17">
            <v>17.44688</v>
          </cell>
        </row>
        <row r="18">
          <cell r="S18">
            <v>16.491399999999999</v>
          </cell>
        </row>
        <row r="19">
          <cell r="S19">
            <v>13.910259999999999</v>
          </cell>
        </row>
        <row r="20">
          <cell r="S20">
            <v>10.721969999999999</v>
          </cell>
        </row>
        <row r="21">
          <cell r="S21">
            <v>7.2146499999999998</v>
          </cell>
        </row>
        <row r="22">
          <cell r="S22">
            <v>3.4244500000000002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1"/>
      <sheetName val="pil2"/>
      <sheetName val="pil3"/>
      <sheetName val="pil4"/>
      <sheetName val="pil5"/>
      <sheetName val="pil6"/>
      <sheetName val="pil7"/>
      <sheetName val="pil8"/>
      <sheetName val="pil9"/>
      <sheetName val="pil10"/>
      <sheetName val="pil11"/>
      <sheetName val="pil12"/>
      <sheetName val="pil13"/>
      <sheetName val="pil14"/>
      <sheetName val="pil15"/>
      <sheetName val="pil16"/>
      <sheetName val="pil17"/>
      <sheetName val="pil18"/>
    </sheetNames>
    <sheetDataSet>
      <sheetData sheetId="0">
        <row r="5">
          <cell r="L5">
            <v>27.687210523694493</v>
          </cell>
        </row>
      </sheetData>
      <sheetData sheetId="1">
        <row r="5">
          <cell r="L5">
            <v>6.4275054207323725</v>
          </cell>
        </row>
      </sheetData>
      <sheetData sheetId="2">
        <row r="5">
          <cell r="L5">
            <v>47.829608363124017</v>
          </cell>
        </row>
      </sheetData>
      <sheetData sheetId="3">
        <row r="5">
          <cell r="L5">
            <v>17.847267997137852</v>
          </cell>
        </row>
      </sheetData>
      <sheetData sheetId="4">
        <row r="5">
          <cell r="L5">
            <v>6.4275054207323725</v>
          </cell>
        </row>
      </sheetData>
      <sheetData sheetId="5">
        <row r="5">
          <cell r="L5">
            <v>6.1696907027828169</v>
          </cell>
        </row>
      </sheetData>
      <sheetData sheetId="6">
        <row r="5">
          <cell r="L5">
            <v>86.002908803345989</v>
          </cell>
        </row>
      </sheetData>
      <sheetData sheetId="7">
        <row r="5">
          <cell r="L5">
            <v>47.829608363124017</v>
          </cell>
        </row>
      </sheetData>
      <sheetData sheetId="8">
        <row r="5">
          <cell r="L5">
            <v>17.847267997137852</v>
          </cell>
        </row>
      </sheetData>
      <sheetData sheetId="9">
        <row r="5">
          <cell r="L5">
            <v>9.594423119604242</v>
          </cell>
        </row>
      </sheetData>
      <sheetData sheetId="10">
        <row r="5">
          <cell r="L5">
            <v>10.621866836601761</v>
          </cell>
        </row>
      </sheetData>
      <sheetData sheetId="11">
        <row r="5">
          <cell r="L5">
            <v>9.8096707961844594</v>
          </cell>
        </row>
      </sheetData>
      <sheetData sheetId="12">
        <row r="5">
          <cell r="L5">
            <v>3.7658584259717971</v>
          </cell>
        </row>
      </sheetData>
      <sheetData sheetId="13">
        <row r="5">
          <cell r="L5">
            <v>27.687210523694493</v>
          </cell>
        </row>
      </sheetData>
      <sheetData sheetId="14">
        <row r="5">
          <cell r="L5">
            <v>49.832407592299866</v>
          </cell>
        </row>
      </sheetData>
      <sheetData sheetId="15">
        <row r="5">
          <cell r="L5">
            <v>49.832407592299866</v>
          </cell>
        </row>
      </sheetData>
      <sheetData sheetId="16">
        <row r="5">
          <cell r="L5">
            <v>86.002908803345989</v>
          </cell>
        </row>
      </sheetData>
      <sheetData sheetId="17">
        <row r="5">
          <cell r="L5">
            <v>47.829608363124017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1"/>
      <sheetName val="pil2"/>
      <sheetName val="pil3"/>
      <sheetName val="pil4"/>
      <sheetName val="pil5"/>
      <sheetName val="pil6"/>
      <sheetName val="pil7"/>
      <sheetName val="pil8"/>
      <sheetName val="pil9"/>
      <sheetName val="pil10"/>
      <sheetName val="pil11"/>
      <sheetName val="pil12"/>
      <sheetName val="pil13"/>
      <sheetName val="pil14"/>
      <sheetName val="pil15"/>
      <sheetName val="pil16"/>
      <sheetName val="pil17"/>
      <sheetName val="pil18"/>
    </sheetNames>
    <sheetDataSet>
      <sheetData sheetId="0">
        <row r="5">
          <cell r="L5">
            <v>5.2630011616209194</v>
          </cell>
        </row>
      </sheetData>
      <sheetData sheetId="1">
        <row r="5">
          <cell r="L5">
            <v>12.203730834469331</v>
          </cell>
        </row>
      </sheetData>
      <sheetData sheetId="2">
        <row r="5">
          <cell r="L5">
            <v>31.757573734756122</v>
          </cell>
        </row>
      </sheetData>
      <sheetData sheetId="3">
        <row r="5">
          <cell r="L5">
            <v>31.61061861382672</v>
          </cell>
        </row>
      </sheetData>
      <sheetData sheetId="4">
        <row r="5">
          <cell r="L5">
            <v>21.526800620176981</v>
          </cell>
        </row>
      </sheetData>
      <sheetData sheetId="5">
        <row r="5">
          <cell r="L5">
            <v>2.7482106578849206</v>
          </cell>
        </row>
      </sheetData>
      <sheetData sheetId="6">
        <row r="5">
          <cell r="L5">
            <v>31.757573734756122</v>
          </cell>
        </row>
      </sheetData>
      <sheetData sheetId="7">
        <row r="5">
          <cell r="L5">
            <v>31.757573734756122</v>
          </cell>
        </row>
      </sheetData>
      <sheetData sheetId="8">
        <row r="5">
          <cell r="L5">
            <v>31.61061861382672</v>
          </cell>
        </row>
      </sheetData>
      <sheetData sheetId="9">
        <row r="5">
          <cell r="L5">
            <v>17.754569413751259</v>
          </cell>
        </row>
      </sheetData>
      <sheetData sheetId="10">
        <row r="5">
          <cell r="L5">
            <v>2.7482106578849206</v>
          </cell>
        </row>
      </sheetData>
      <sheetData sheetId="11">
        <row r="5">
          <cell r="L5">
            <v>12.872830000717872</v>
          </cell>
        </row>
      </sheetData>
      <sheetData sheetId="12">
        <row r="5">
          <cell r="L5">
            <v>12.872830000717872</v>
          </cell>
        </row>
      </sheetData>
      <sheetData sheetId="13">
        <row r="5">
          <cell r="L5">
            <v>5.2630011616209194</v>
          </cell>
        </row>
      </sheetData>
      <sheetData sheetId="14">
        <row r="5">
          <cell r="L5">
            <v>45.829765113892535</v>
          </cell>
        </row>
      </sheetData>
      <sheetData sheetId="15">
        <row r="5">
          <cell r="L5">
            <v>45.829765113892535</v>
          </cell>
        </row>
      </sheetData>
      <sheetData sheetId="16">
        <row r="5">
          <cell r="L5">
            <v>31.757573734756122</v>
          </cell>
        </row>
      </sheetData>
      <sheetData sheetId="17">
        <row r="5">
          <cell r="L5">
            <v>31.757573734756122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1"/>
      <sheetName val="pil2"/>
      <sheetName val="pil3"/>
      <sheetName val="pil4"/>
      <sheetName val="pil5"/>
      <sheetName val="pil6"/>
      <sheetName val="pil7"/>
      <sheetName val="pil8"/>
      <sheetName val="pil9"/>
      <sheetName val="pil10"/>
      <sheetName val="pil11"/>
      <sheetName val="pil12"/>
      <sheetName val="pil13"/>
      <sheetName val="pil14"/>
      <sheetName val="pil15"/>
      <sheetName val="pil16"/>
      <sheetName val="pil17"/>
      <sheetName val="pil18"/>
    </sheetNames>
    <sheetDataSet>
      <sheetData sheetId="0">
        <row r="5">
          <cell r="L5">
            <v>1.6186402485426059</v>
          </cell>
        </row>
      </sheetData>
      <sheetData sheetId="1">
        <row r="5">
          <cell r="L5">
            <v>15.245391426669757</v>
          </cell>
        </row>
      </sheetData>
      <sheetData sheetId="2">
        <row r="5">
          <cell r="L5">
            <v>9.2665132321689434</v>
          </cell>
        </row>
      </sheetData>
      <sheetData sheetId="3">
        <row r="5">
          <cell r="L5">
            <v>16.497786663627085</v>
          </cell>
        </row>
      </sheetData>
      <sheetData sheetId="4">
        <row r="5">
          <cell r="L5">
            <v>26.419045885996468</v>
          </cell>
        </row>
      </sheetData>
      <sheetData sheetId="5">
        <row r="5">
          <cell r="L5">
            <v>12.079920028568953</v>
          </cell>
        </row>
      </sheetData>
      <sheetData sheetId="6">
        <row r="5">
          <cell r="L5">
            <v>9.0477990046686543</v>
          </cell>
        </row>
      </sheetData>
      <sheetData sheetId="7">
        <row r="5">
          <cell r="L5">
            <v>9.0477990046686543</v>
          </cell>
        </row>
      </sheetData>
      <sheetData sheetId="8">
        <row r="5">
          <cell r="L5">
            <v>16.497786663627085</v>
          </cell>
        </row>
      </sheetData>
      <sheetData sheetId="9">
        <row r="5">
          <cell r="L5">
            <v>26.419045885996468</v>
          </cell>
        </row>
      </sheetData>
      <sheetData sheetId="10">
        <row r="5">
          <cell r="L5">
            <v>12.079920028568953</v>
          </cell>
        </row>
      </sheetData>
      <sheetData sheetId="11">
        <row r="5">
          <cell r="L5">
            <v>26.419045885996468</v>
          </cell>
        </row>
      </sheetData>
      <sheetData sheetId="12">
        <row r="5">
          <cell r="L5">
            <v>26.419045885996468</v>
          </cell>
        </row>
      </sheetData>
      <sheetData sheetId="13">
        <row r="5">
          <cell r="L5">
            <v>1.6186402485426059</v>
          </cell>
        </row>
      </sheetData>
      <sheetData sheetId="14">
        <row r="5">
          <cell r="L5">
            <v>15.245391426669757</v>
          </cell>
        </row>
      </sheetData>
      <sheetData sheetId="15">
        <row r="5">
          <cell r="L5">
            <v>15.245391426669757</v>
          </cell>
        </row>
      </sheetData>
      <sheetData sheetId="16">
        <row r="5">
          <cell r="L5">
            <v>9.0477990046686543</v>
          </cell>
        </row>
      </sheetData>
      <sheetData sheetId="17">
        <row r="5">
          <cell r="L5">
            <v>9.0477990046686543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1"/>
      <sheetName val="pil2"/>
      <sheetName val="pil3"/>
      <sheetName val="pil4"/>
      <sheetName val="pil5"/>
      <sheetName val="pil6"/>
      <sheetName val="pil7"/>
      <sheetName val="pil8"/>
      <sheetName val="pil9"/>
      <sheetName val="pil10"/>
      <sheetName val="pil11"/>
      <sheetName val="pil12"/>
      <sheetName val="pil13"/>
      <sheetName val="pil14"/>
      <sheetName val="pil15"/>
      <sheetName val="pil16"/>
      <sheetName val="pil17"/>
      <sheetName val="pil18"/>
    </sheetNames>
    <sheetDataSet>
      <sheetData sheetId="0">
        <row r="5">
          <cell r="L5">
            <v>19.271243061629978</v>
          </cell>
        </row>
      </sheetData>
      <sheetData sheetId="1">
        <row r="5">
          <cell r="L5">
            <v>13.079609944068313</v>
          </cell>
        </row>
      </sheetData>
      <sheetData sheetId="2">
        <row r="5">
          <cell r="L5">
            <v>19.271243061629978</v>
          </cell>
        </row>
      </sheetData>
      <sheetData sheetId="3">
        <row r="5">
          <cell r="L5">
            <v>10.238945321661589</v>
          </cell>
        </row>
      </sheetData>
      <sheetData sheetId="4">
        <row r="5">
          <cell r="L5">
            <v>13.079609944068313</v>
          </cell>
        </row>
      </sheetData>
      <sheetData sheetId="5">
        <row r="5">
          <cell r="L5">
            <v>32.060671351242647</v>
          </cell>
        </row>
      </sheetData>
      <sheetData sheetId="6">
        <row r="5">
          <cell r="L5">
            <v>32.060671351242647</v>
          </cell>
        </row>
      </sheetData>
      <sheetData sheetId="7">
        <row r="5">
          <cell r="L5">
            <v>19.271243061629978</v>
          </cell>
        </row>
      </sheetData>
      <sheetData sheetId="8">
        <row r="5">
          <cell r="L5">
            <v>10.238945321661589</v>
          </cell>
        </row>
      </sheetData>
      <sheetData sheetId="9">
        <row r="5">
          <cell r="L5">
            <v>13.079609944068313</v>
          </cell>
        </row>
      </sheetData>
      <sheetData sheetId="10">
        <row r="5">
          <cell r="L5">
            <v>32.060671351242647</v>
          </cell>
        </row>
      </sheetData>
      <sheetData sheetId="11">
        <row r="5">
          <cell r="L5">
            <v>10.589062664704553</v>
          </cell>
        </row>
      </sheetData>
      <sheetData sheetId="12">
        <row r="5">
          <cell r="L5">
            <v>1.691064490631375</v>
          </cell>
        </row>
      </sheetData>
      <sheetData sheetId="13">
        <row r="5">
          <cell r="L5">
            <v>19.271243061629978</v>
          </cell>
        </row>
      </sheetData>
      <sheetData sheetId="14">
        <row r="5">
          <cell r="L5">
            <v>13.079609944068313</v>
          </cell>
        </row>
      </sheetData>
      <sheetData sheetId="15">
        <row r="5">
          <cell r="L5">
            <v>13.89437743568411</v>
          </cell>
        </row>
      </sheetData>
      <sheetData sheetId="16">
        <row r="5">
          <cell r="L5">
            <v>32.060671351242647</v>
          </cell>
        </row>
      </sheetData>
      <sheetData sheetId="17">
        <row r="5">
          <cell r="L5">
            <v>19.271243061629978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1"/>
      <sheetName val="pil2"/>
      <sheetName val="pil3"/>
      <sheetName val="pil4"/>
      <sheetName val="pil5"/>
      <sheetName val="pil6"/>
      <sheetName val="pil7"/>
      <sheetName val="pil8"/>
      <sheetName val="pil9"/>
      <sheetName val="pil10"/>
      <sheetName val="pil11"/>
      <sheetName val="pil12"/>
      <sheetName val="pil13"/>
      <sheetName val="pil14"/>
      <sheetName val="pil15"/>
      <sheetName val="pil16"/>
      <sheetName val="pil17"/>
      <sheetName val="pil18"/>
    </sheetNames>
    <sheetDataSet>
      <sheetData sheetId="0">
        <row r="5">
          <cell r="L5">
            <v>1.6186402485426059</v>
          </cell>
        </row>
      </sheetData>
      <sheetData sheetId="1">
        <row r="5">
          <cell r="L5">
            <v>18.544280512529447</v>
          </cell>
        </row>
      </sheetData>
      <sheetData sheetId="2">
        <row r="5">
          <cell r="L5">
            <v>10.025000766838676</v>
          </cell>
        </row>
      </sheetData>
      <sheetData sheetId="3">
        <row r="5">
          <cell r="L5">
            <v>19.71033635643569</v>
          </cell>
        </row>
      </sheetData>
      <sheetData sheetId="4">
        <row r="5">
          <cell r="L5">
            <v>31.03928380113317</v>
          </cell>
        </row>
      </sheetData>
      <sheetData sheetId="5">
        <row r="5">
          <cell r="L5">
            <v>12.902299788370408</v>
          </cell>
        </row>
      </sheetData>
      <sheetData sheetId="6">
        <row r="5">
          <cell r="L5">
            <v>10.025000766838676</v>
          </cell>
        </row>
      </sheetData>
      <sheetData sheetId="7">
        <row r="5">
          <cell r="L5">
            <v>10.025000766838676</v>
          </cell>
        </row>
      </sheetData>
      <sheetData sheetId="8">
        <row r="5">
          <cell r="L5">
            <v>19.71033635643569</v>
          </cell>
        </row>
      </sheetData>
      <sheetData sheetId="9">
        <row r="5">
          <cell r="L5">
            <v>31.03928380113317</v>
          </cell>
        </row>
      </sheetData>
      <sheetData sheetId="10">
        <row r="5">
          <cell r="L5">
            <v>12.902299788370408</v>
          </cell>
        </row>
      </sheetData>
      <sheetData sheetId="11">
        <row r="5">
          <cell r="L5">
            <v>31.03928380113317</v>
          </cell>
        </row>
      </sheetData>
      <sheetData sheetId="12">
        <row r="5">
          <cell r="L5">
            <v>31.03928380113317</v>
          </cell>
        </row>
      </sheetData>
      <sheetData sheetId="13">
        <row r="5">
          <cell r="L5">
            <v>1.6186402485426059</v>
          </cell>
        </row>
      </sheetData>
      <sheetData sheetId="14">
        <row r="5">
          <cell r="L5">
            <v>18.544280512529447</v>
          </cell>
        </row>
      </sheetData>
      <sheetData sheetId="15">
        <row r="5">
          <cell r="L5">
            <v>18.544280512529447</v>
          </cell>
        </row>
      </sheetData>
      <sheetData sheetId="16">
        <row r="5">
          <cell r="L5">
            <v>10.025000766838676</v>
          </cell>
        </row>
      </sheetData>
      <sheetData sheetId="17">
        <row r="5">
          <cell r="L5">
            <v>10.025000766838676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1"/>
      <sheetName val="pil2"/>
      <sheetName val="pil3"/>
      <sheetName val="pil4"/>
      <sheetName val="pil5"/>
      <sheetName val="pil6"/>
      <sheetName val="pil7"/>
      <sheetName val="pil8"/>
      <sheetName val="pil9"/>
      <sheetName val="pil10"/>
      <sheetName val="pil11"/>
      <sheetName val="pil12"/>
      <sheetName val="pil13"/>
      <sheetName val="pil14"/>
      <sheetName val="pil15"/>
      <sheetName val="pil16"/>
      <sheetName val="pil17"/>
      <sheetName val="pil18"/>
    </sheetNames>
    <sheetDataSet>
      <sheetData sheetId="0">
        <row r="5">
          <cell r="L5">
            <v>23.037706400109165</v>
          </cell>
        </row>
      </sheetData>
      <sheetData sheetId="1">
        <row r="5">
          <cell r="L5">
            <v>13.949188529782598</v>
          </cell>
        </row>
      </sheetData>
      <sheetData sheetId="2">
        <row r="5">
          <cell r="L5">
            <v>23.037706400109165</v>
          </cell>
        </row>
      </sheetData>
      <sheetData sheetId="3">
        <row r="5">
          <cell r="L5">
            <v>11.32020493299491</v>
          </cell>
        </row>
      </sheetData>
      <sheetData sheetId="4">
        <row r="5">
          <cell r="L5">
            <v>13.949188529782598</v>
          </cell>
        </row>
      </sheetData>
      <sheetData sheetId="5">
        <row r="5">
          <cell r="L5">
            <v>37.371674845041319</v>
          </cell>
        </row>
      </sheetData>
      <sheetData sheetId="6">
        <row r="5">
          <cell r="L5">
            <v>37.371674845041319</v>
          </cell>
        </row>
      </sheetData>
      <sheetData sheetId="7">
        <row r="5">
          <cell r="L5">
            <v>23.037706400109165</v>
          </cell>
        </row>
      </sheetData>
      <sheetData sheetId="8">
        <row r="5">
          <cell r="L5">
            <v>11.32020493299491</v>
          </cell>
        </row>
      </sheetData>
      <sheetData sheetId="9">
        <row r="5">
          <cell r="L5">
            <v>13.949188529782598</v>
          </cell>
        </row>
      </sheetData>
      <sheetData sheetId="10">
        <row r="5">
          <cell r="L5">
            <v>37.371674845041319</v>
          </cell>
        </row>
      </sheetData>
      <sheetData sheetId="11">
        <row r="5">
          <cell r="L5">
            <v>11.575265622417703</v>
          </cell>
        </row>
      </sheetData>
      <sheetData sheetId="12">
        <row r="5">
          <cell r="L5">
            <v>1.691064490631375</v>
          </cell>
        </row>
      </sheetData>
      <sheetData sheetId="13">
        <row r="5">
          <cell r="L5">
            <v>23.037706400109165</v>
          </cell>
        </row>
      </sheetData>
      <sheetData sheetId="14">
        <row r="5">
          <cell r="L5">
            <v>13.949188529782598</v>
          </cell>
        </row>
      </sheetData>
      <sheetData sheetId="15">
        <row r="5">
          <cell r="L5">
            <v>14.830414266758693</v>
          </cell>
        </row>
      </sheetData>
      <sheetData sheetId="16">
        <row r="5">
          <cell r="L5">
            <v>37.371674845041319</v>
          </cell>
        </row>
      </sheetData>
      <sheetData sheetId="17">
        <row r="5">
          <cell r="L5">
            <v>23.037706400109165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1"/>
      <sheetName val="pil2"/>
      <sheetName val="pil3"/>
      <sheetName val="pil4"/>
      <sheetName val="pil5"/>
      <sheetName val="pil6"/>
      <sheetName val="pil7"/>
      <sheetName val="pil8"/>
      <sheetName val="pil9"/>
      <sheetName val="pil10"/>
      <sheetName val="pil11"/>
      <sheetName val="pil12"/>
      <sheetName val="pil13"/>
      <sheetName val="pil14"/>
      <sheetName val="pil15"/>
      <sheetName val="pil16"/>
      <sheetName val="pil17"/>
      <sheetName val="pil18"/>
    </sheetNames>
    <sheetDataSet>
      <sheetData sheetId="0">
        <row r="5">
          <cell r="L5">
            <v>1.6186402485426059</v>
          </cell>
        </row>
      </sheetData>
      <sheetData sheetId="1">
        <row r="5">
          <cell r="L5">
            <v>22.197621734747546</v>
          </cell>
        </row>
      </sheetData>
      <sheetData sheetId="2">
        <row r="5">
          <cell r="L5">
            <v>11.113531924153465</v>
          </cell>
        </row>
      </sheetData>
      <sheetData sheetId="3">
        <row r="5">
          <cell r="L5">
            <v>23.251855323175192</v>
          </cell>
        </row>
      </sheetData>
      <sheetData sheetId="4">
        <row r="5">
          <cell r="L5">
            <v>36.258658182989691</v>
          </cell>
        </row>
      </sheetData>
      <sheetData sheetId="5">
        <row r="5">
          <cell r="L5">
            <v>13.791173807607588</v>
          </cell>
        </row>
      </sheetData>
      <sheetData sheetId="6">
        <row r="5">
          <cell r="L5">
            <v>11.113531924153465</v>
          </cell>
        </row>
      </sheetData>
      <sheetData sheetId="7">
        <row r="5">
          <cell r="L5">
            <v>11.113531924153465</v>
          </cell>
        </row>
      </sheetData>
      <sheetData sheetId="8">
        <row r="5">
          <cell r="L5">
            <v>23.251855323175192</v>
          </cell>
        </row>
      </sheetData>
      <sheetData sheetId="9">
        <row r="5">
          <cell r="L5">
            <v>36.258658182989691</v>
          </cell>
        </row>
      </sheetData>
      <sheetData sheetId="10">
        <row r="5">
          <cell r="L5">
            <v>13.791173807607588</v>
          </cell>
        </row>
      </sheetData>
      <sheetData sheetId="11">
        <row r="5">
          <cell r="L5">
            <v>36.258658182989691</v>
          </cell>
        </row>
      </sheetData>
      <sheetData sheetId="12">
        <row r="5">
          <cell r="L5">
            <v>36.258658182989691</v>
          </cell>
        </row>
      </sheetData>
      <sheetData sheetId="13">
        <row r="5">
          <cell r="L5">
            <v>1.6186402485426059</v>
          </cell>
        </row>
      </sheetData>
      <sheetData sheetId="14">
        <row r="5">
          <cell r="L5">
            <v>22.197621734747546</v>
          </cell>
        </row>
      </sheetData>
      <sheetData sheetId="15">
        <row r="5">
          <cell r="L5">
            <v>22.197621734747546</v>
          </cell>
        </row>
      </sheetData>
      <sheetData sheetId="16">
        <row r="5">
          <cell r="L5">
            <v>11.113531924153465</v>
          </cell>
        </row>
      </sheetData>
      <sheetData sheetId="17">
        <row r="5">
          <cell r="L5">
            <v>11.113531924153465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1"/>
      <sheetName val="pil2"/>
      <sheetName val="pil3"/>
      <sheetName val="pil4"/>
      <sheetName val="pil5"/>
      <sheetName val="pil6"/>
      <sheetName val="pil7"/>
      <sheetName val="pil8"/>
      <sheetName val="pil9"/>
      <sheetName val="pil10"/>
      <sheetName val="pil11"/>
      <sheetName val="pil12"/>
      <sheetName val="pil13"/>
      <sheetName val="pil14"/>
      <sheetName val="pil15"/>
      <sheetName val="pil16"/>
      <sheetName val="pil17"/>
      <sheetName val="pil18"/>
    </sheetNames>
    <sheetDataSet>
      <sheetData sheetId="0">
        <row r="5">
          <cell r="L5">
            <v>23.037706400109165</v>
          </cell>
        </row>
      </sheetData>
      <sheetData sheetId="1">
        <row r="5">
          <cell r="L5">
            <v>13.949188529782598</v>
          </cell>
        </row>
      </sheetData>
      <sheetData sheetId="2">
        <row r="5">
          <cell r="L5">
            <v>23.037706400109165</v>
          </cell>
        </row>
      </sheetData>
      <sheetData sheetId="3">
        <row r="5">
          <cell r="L5">
            <v>11.32020493299491</v>
          </cell>
        </row>
      </sheetData>
      <sheetData sheetId="4">
        <row r="5">
          <cell r="L5">
            <v>13.949188529782598</v>
          </cell>
        </row>
      </sheetData>
      <sheetData sheetId="5">
        <row r="5">
          <cell r="L5">
            <v>37.371674845041319</v>
          </cell>
        </row>
      </sheetData>
      <sheetData sheetId="6">
        <row r="5">
          <cell r="L5">
            <v>37.371674845041319</v>
          </cell>
        </row>
      </sheetData>
      <sheetData sheetId="7">
        <row r="5">
          <cell r="L5">
            <v>23.037706400109165</v>
          </cell>
        </row>
      </sheetData>
      <sheetData sheetId="8">
        <row r="5">
          <cell r="L5">
            <v>11.32020493299491</v>
          </cell>
        </row>
      </sheetData>
      <sheetData sheetId="9">
        <row r="5">
          <cell r="L5">
            <v>13.949188529782598</v>
          </cell>
        </row>
      </sheetData>
      <sheetData sheetId="10">
        <row r="5">
          <cell r="L5">
            <v>37.371674845041319</v>
          </cell>
        </row>
      </sheetData>
      <sheetData sheetId="11">
        <row r="5">
          <cell r="L5">
            <v>11.575265622417703</v>
          </cell>
        </row>
      </sheetData>
      <sheetData sheetId="12">
        <row r="5">
          <cell r="L5">
            <v>1.691064490631375</v>
          </cell>
        </row>
      </sheetData>
      <sheetData sheetId="13">
        <row r="5">
          <cell r="L5">
            <v>23.037706400109165</v>
          </cell>
        </row>
      </sheetData>
      <sheetData sheetId="14">
        <row r="5">
          <cell r="L5">
            <v>13.949188529782598</v>
          </cell>
        </row>
      </sheetData>
      <sheetData sheetId="15">
        <row r="5">
          <cell r="L5">
            <v>14.830414266758693</v>
          </cell>
        </row>
      </sheetData>
      <sheetData sheetId="16">
        <row r="5">
          <cell r="L5">
            <v>37.371674845041319</v>
          </cell>
        </row>
      </sheetData>
      <sheetData sheetId="17">
        <row r="5">
          <cell r="L5">
            <v>23.037706400109165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2"/>
  <sheetViews>
    <sheetView tabSelected="1" topLeftCell="B98" zoomScale="70" zoomScaleNormal="70" workbookViewId="0">
      <selection activeCell="B138" sqref="B138"/>
    </sheetView>
  </sheetViews>
  <sheetFormatPr defaultRowHeight="15" x14ac:dyDescent="0.25"/>
  <cols>
    <col min="1" max="1" width="26.28515625" customWidth="1"/>
    <col min="2" max="2" width="21" customWidth="1"/>
    <col min="3" max="3" width="15.7109375" customWidth="1"/>
    <col min="4" max="4" width="19.28515625" customWidth="1"/>
    <col min="5" max="5" width="21.7109375" customWidth="1"/>
    <col min="6" max="6" width="25.140625" customWidth="1"/>
    <col min="7" max="7" width="33.28515625" customWidth="1"/>
    <col min="8" max="9" width="15.7109375" customWidth="1"/>
    <col min="10" max="10" width="19.7109375" customWidth="1"/>
    <col min="11" max="11" width="23" customWidth="1"/>
    <col min="12" max="12" width="15.7109375" customWidth="1"/>
    <col min="13" max="13" width="21.42578125" customWidth="1"/>
    <col min="14" max="14" width="19.28515625" customWidth="1"/>
    <col min="15" max="15" width="15.7109375" customWidth="1"/>
    <col min="16" max="16" width="20.85546875" customWidth="1"/>
    <col min="17" max="17" width="14.28515625" customWidth="1"/>
    <col min="18" max="18" width="17.5703125" customWidth="1"/>
    <col min="19" max="19" width="14" customWidth="1"/>
  </cols>
  <sheetData>
    <row r="1" spans="1:21" ht="15.75" thickBot="1" x14ac:dyDescent="0.3">
      <c r="A1" s="251" t="s">
        <v>0</v>
      </c>
      <c r="B1" s="252"/>
      <c r="C1" s="252"/>
      <c r="D1" s="252"/>
      <c r="E1" s="252"/>
      <c r="F1" s="252"/>
      <c r="G1" s="253"/>
      <c r="H1" s="1"/>
      <c r="I1" s="269" t="s">
        <v>1</v>
      </c>
      <c r="J1" s="271"/>
      <c r="M1" s="239"/>
    </row>
    <row r="2" spans="1:21" ht="20.100000000000001" customHeight="1" thickBot="1" x14ac:dyDescent="0.3">
      <c r="A2" s="2"/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1"/>
      <c r="I2" s="5" t="s">
        <v>8</v>
      </c>
      <c r="J2" s="6">
        <v>600</v>
      </c>
      <c r="K2" s="7" t="s">
        <v>9</v>
      </c>
      <c r="M2" s="8"/>
    </row>
    <row r="3" spans="1:21" ht="15.75" thickBot="1" x14ac:dyDescent="0.3">
      <c r="A3" s="9" t="s">
        <v>10</v>
      </c>
      <c r="B3" s="10">
        <v>0.04</v>
      </c>
      <c r="C3" s="10">
        <v>1</v>
      </c>
      <c r="D3" s="10">
        <v>1</v>
      </c>
      <c r="E3" s="10"/>
      <c r="F3" s="10">
        <v>25</v>
      </c>
      <c r="G3" s="11">
        <f>B3*F3*C3</f>
        <v>1</v>
      </c>
      <c r="I3" s="12" t="s">
        <v>11</v>
      </c>
      <c r="J3" s="13">
        <f>J2/25</f>
        <v>24</v>
      </c>
      <c r="K3" s="14" t="s">
        <v>12</v>
      </c>
      <c r="M3" s="8"/>
    </row>
    <row r="4" spans="1:21" ht="15.75" thickBot="1" x14ac:dyDescent="0.3">
      <c r="A4" s="15" t="s">
        <v>13</v>
      </c>
      <c r="B4" s="16">
        <f>0.22</f>
        <v>0.22</v>
      </c>
      <c r="C4" s="16">
        <v>0.08</v>
      </c>
      <c r="D4" s="16">
        <v>1</v>
      </c>
      <c r="E4" s="16"/>
      <c r="F4" s="16">
        <v>25</v>
      </c>
      <c r="G4" s="17">
        <f>3*B4*F4*C4</f>
        <v>1.32</v>
      </c>
      <c r="I4" s="18" t="s">
        <v>14</v>
      </c>
      <c r="J4" s="19">
        <v>0.26</v>
      </c>
      <c r="K4" s="20" t="s">
        <v>15</v>
      </c>
      <c r="L4" s="8"/>
      <c r="M4" s="8"/>
    </row>
    <row r="5" spans="1:21" x14ac:dyDescent="0.25">
      <c r="A5" s="15" t="s">
        <v>16</v>
      </c>
      <c r="B5" s="16">
        <v>0.22</v>
      </c>
      <c r="C5" s="16">
        <v>0.33</v>
      </c>
      <c r="D5" s="16">
        <v>0.4</v>
      </c>
      <c r="E5" s="16">
        <v>8.5000000000000006E-2</v>
      </c>
      <c r="F5" s="16"/>
      <c r="G5" s="17">
        <f>E5*J7</f>
        <v>0.63750000000000007</v>
      </c>
      <c r="M5" s="8"/>
    </row>
    <row r="6" spans="1:21" ht="15.75" thickBot="1" x14ac:dyDescent="0.3">
      <c r="A6" s="21" t="s">
        <v>17</v>
      </c>
      <c r="B6" s="22"/>
      <c r="C6" s="22"/>
      <c r="D6" s="22"/>
      <c r="E6" s="22"/>
      <c r="F6" s="22"/>
      <c r="G6" s="23">
        <f>SUM(G3:G5)</f>
        <v>2.9575000000000005</v>
      </c>
      <c r="K6" s="8"/>
      <c r="L6" s="8"/>
      <c r="M6" s="8"/>
    </row>
    <row r="7" spans="1:21" ht="15.75" thickBot="1" x14ac:dyDescent="0.3">
      <c r="A7" s="2"/>
      <c r="B7" s="3" t="s">
        <v>18</v>
      </c>
      <c r="C7" s="3" t="s">
        <v>19</v>
      </c>
      <c r="D7" s="3" t="s">
        <v>20</v>
      </c>
      <c r="E7" s="3"/>
      <c r="F7" s="3" t="s">
        <v>21</v>
      </c>
      <c r="G7" s="24" t="s">
        <v>22</v>
      </c>
      <c r="I7" s="18" t="s">
        <v>23</v>
      </c>
      <c r="J7" s="19">
        <v>7.5</v>
      </c>
    </row>
    <row r="8" spans="1:21" ht="15.75" thickBot="1" x14ac:dyDescent="0.3">
      <c r="A8" s="9" t="s">
        <v>24</v>
      </c>
      <c r="B8" s="10">
        <v>1</v>
      </c>
      <c r="C8" s="10">
        <v>1</v>
      </c>
      <c r="D8" s="10">
        <v>0.08</v>
      </c>
      <c r="F8" s="10">
        <v>4.57</v>
      </c>
      <c r="G8" s="11">
        <f>B8*C8*D8*F8</f>
        <v>0.36560000000000004</v>
      </c>
    </row>
    <row r="9" spans="1:21" x14ac:dyDescent="0.25">
      <c r="A9" s="15" t="s">
        <v>25</v>
      </c>
      <c r="B9" s="16">
        <v>1</v>
      </c>
      <c r="C9" s="16">
        <v>1</v>
      </c>
      <c r="D9" s="16">
        <v>0.02</v>
      </c>
      <c r="F9" s="16">
        <v>27</v>
      </c>
      <c r="G9" s="17">
        <f>B9*C9*D9*F9</f>
        <v>0.54</v>
      </c>
      <c r="I9" s="25" t="s">
        <v>26</v>
      </c>
      <c r="J9" s="26">
        <v>3.2</v>
      </c>
    </row>
    <row r="10" spans="1:21" ht="15.75" thickBot="1" x14ac:dyDescent="0.3">
      <c r="A10" s="15" t="s">
        <v>27</v>
      </c>
      <c r="B10" s="16">
        <v>1</v>
      </c>
      <c r="C10" s="16">
        <v>1</v>
      </c>
      <c r="D10" s="16">
        <v>0.02</v>
      </c>
      <c r="F10" s="16">
        <v>20</v>
      </c>
      <c r="G10" s="17">
        <f>B10*C10*D10*F10</f>
        <v>0.4</v>
      </c>
      <c r="I10" s="27" t="s">
        <v>28</v>
      </c>
      <c r="J10" s="28">
        <f>J4+D8+D9+D10</f>
        <v>0.38000000000000006</v>
      </c>
    </row>
    <row r="11" spans="1:21" ht="15.75" thickBot="1" x14ac:dyDescent="0.3">
      <c r="A11" s="29" t="s">
        <v>17</v>
      </c>
      <c r="B11" s="30"/>
      <c r="C11" s="30"/>
      <c r="D11" s="30"/>
      <c r="E11" s="30"/>
      <c r="F11" s="30"/>
      <c r="G11" s="31">
        <f>SUM(G8:G10)</f>
        <v>1.3056000000000001</v>
      </c>
    </row>
    <row r="12" spans="1:21" ht="15.75" thickBot="1" x14ac:dyDescent="0.3"/>
    <row r="13" spans="1:21" ht="15.75" thickBot="1" x14ac:dyDescent="0.3">
      <c r="A13" s="251" t="s">
        <v>29</v>
      </c>
      <c r="B13" s="252"/>
      <c r="C13" s="252"/>
      <c r="D13" s="252"/>
      <c r="E13" s="252"/>
      <c r="F13" s="252"/>
      <c r="G13" s="253"/>
      <c r="N13" s="8"/>
      <c r="S13" s="8"/>
    </row>
    <row r="14" spans="1:21" x14ac:dyDescent="0.25">
      <c r="A14" s="32"/>
      <c r="B14" s="33" t="s">
        <v>30</v>
      </c>
      <c r="C14" s="33" t="s">
        <v>31</v>
      </c>
      <c r="D14" s="33" t="s">
        <v>32</v>
      </c>
      <c r="E14" s="33" t="s">
        <v>21</v>
      </c>
      <c r="F14" s="33"/>
      <c r="G14" s="34" t="s">
        <v>33</v>
      </c>
      <c r="N14" s="8"/>
      <c r="S14" s="8"/>
      <c r="T14" s="8"/>
      <c r="U14" s="8"/>
    </row>
    <row r="15" spans="1:21" x14ac:dyDescent="0.25">
      <c r="A15" s="15" t="s">
        <v>16</v>
      </c>
      <c r="B15" s="16">
        <f>$J$9-J10</f>
        <v>2.8200000000000003</v>
      </c>
      <c r="C15" s="16">
        <v>0.2</v>
      </c>
      <c r="D15" s="16">
        <v>1</v>
      </c>
      <c r="E15" s="16">
        <v>6</v>
      </c>
      <c r="F15" s="16"/>
      <c r="G15" s="17">
        <f>B15*C15*D15*E15</f>
        <v>3.3840000000000003</v>
      </c>
      <c r="N15" s="8"/>
      <c r="S15" s="8"/>
      <c r="T15" s="8"/>
      <c r="U15" s="8"/>
    </row>
    <row r="16" spans="1:21" x14ac:dyDescent="0.25">
      <c r="A16" s="15" t="s">
        <v>27</v>
      </c>
      <c r="B16" s="16">
        <f>$J$9-J11</f>
        <v>3.2</v>
      </c>
      <c r="C16" s="16">
        <v>0.04</v>
      </c>
      <c r="D16" s="16">
        <v>1</v>
      </c>
      <c r="E16" s="16">
        <v>20</v>
      </c>
      <c r="F16" s="16"/>
      <c r="G16" s="17">
        <f>B16*C16*D16*E16</f>
        <v>2.56</v>
      </c>
      <c r="H16" s="35"/>
      <c r="S16" s="8"/>
      <c r="T16" s="8"/>
      <c r="U16" s="8"/>
    </row>
    <row r="17" spans="1:21" ht="15.75" thickBot="1" x14ac:dyDescent="0.3">
      <c r="A17" s="21" t="s">
        <v>17</v>
      </c>
      <c r="B17" s="22"/>
      <c r="C17" s="22"/>
      <c r="D17" s="22"/>
      <c r="E17" s="22"/>
      <c r="F17" s="22"/>
      <c r="G17" s="23">
        <f>SUM(G15:G16)</f>
        <v>5.9440000000000008</v>
      </c>
      <c r="S17" s="8"/>
      <c r="T17" s="8"/>
      <c r="U17" s="8"/>
    </row>
    <row r="18" spans="1:21" ht="15.75" thickBot="1" x14ac:dyDescent="0.3"/>
    <row r="19" spans="1:21" ht="15.75" thickBot="1" x14ac:dyDescent="0.3">
      <c r="A19" s="251" t="s">
        <v>127</v>
      </c>
      <c r="B19" s="252"/>
      <c r="C19" s="252"/>
      <c r="D19" s="252"/>
      <c r="E19" s="252"/>
      <c r="F19" s="252"/>
      <c r="G19" s="253"/>
    </row>
    <row r="20" spans="1:21" x14ac:dyDescent="0.25">
      <c r="A20" s="32"/>
      <c r="B20" s="33" t="s">
        <v>35</v>
      </c>
      <c r="C20" s="33" t="s">
        <v>36</v>
      </c>
      <c r="D20" s="33" t="s">
        <v>37</v>
      </c>
      <c r="E20" s="33" t="s">
        <v>38</v>
      </c>
      <c r="F20" s="33"/>
      <c r="G20" s="34" t="s">
        <v>33</v>
      </c>
    </row>
    <row r="21" spans="1:21" ht="15.75" thickBot="1" x14ac:dyDescent="0.3">
      <c r="A21" s="27"/>
      <c r="B21" s="36">
        <f>B121</f>
        <v>0.3</v>
      </c>
      <c r="C21" s="36">
        <f>0.6</f>
        <v>0.6</v>
      </c>
      <c r="D21" s="37">
        <v>1</v>
      </c>
      <c r="E21" s="37">
        <v>25</v>
      </c>
      <c r="F21" s="37"/>
      <c r="G21" s="28">
        <f>B21*C21*D21*E21</f>
        <v>4.5</v>
      </c>
    </row>
    <row r="22" spans="1:21" ht="15.75" thickBot="1" x14ac:dyDescent="0.3"/>
    <row r="23" spans="1:21" ht="15.75" thickBot="1" x14ac:dyDescent="0.3">
      <c r="A23" s="251" t="s">
        <v>34</v>
      </c>
      <c r="B23" s="252"/>
      <c r="C23" s="252"/>
      <c r="D23" s="252"/>
      <c r="E23" s="252"/>
      <c r="F23" s="252"/>
      <c r="G23" s="253"/>
    </row>
    <row r="24" spans="1:21" x14ac:dyDescent="0.25">
      <c r="A24" s="32"/>
      <c r="B24" s="33" t="s">
        <v>35</v>
      </c>
      <c r="C24" s="33" t="s">
        <v>36</v>
      </c>
      <c r="D24" s="33" t="s">
        <v>37</v>
      </c>
      <c r="E24" s="33" t="s">
        <v>38</v>
      </c>
      <c r="F24" s="33"/>
      <c r="G24" s="34" t="s">
        <v>33</v>
      </c>
    </row>
    <row r="25" spans="1:21" ht="15.75" thickBot="1" x14ac:dyDescent="0.3">
      <c r="A25" s="27"/>
      <c r="B25" s="36">
        <f>B125</f>
        <v>0.3</v>
      </c>
      <c r="C25" s="36">
        <f>B124</f>
        <v>0.5</v>
      </c>
      <c r="D25" s="37">
        <v>1</v>
      </c>
      <c r="E25" s="37">
        <v>25</v>
      </c>
      <c r="F25" s="37"/>
      <c r="G25" s="28">
        <f>B25*C25*D25*E25</f>
        <v>3.75</v>
      </c>
    </row>
    <row r="26" spans="1:21" ht="15.75" thickBot="1" x14ac:dyDescent="0.3"/>
    <row r="27" spans="1:21" ht="15.75" thickBot="1" x14ac:dyDescent="0.3">
      <c r="A27" s="251" t="s">
        <v>39</v>
      </c>
      <c r="B27" s="252"/>
      <c r="C27" s="252"/>
      <c r="D27" s="252"/>
      <c r="E27" s="252"/>
      <c r="F27" s="252"/>
      <c r="G27" s="253"/>
    </row>
    <row r="28" spans="1:21" x14ac:dyDescent="0.25">
      <c r="A28" s="32"/>
      <c r="B28" s="33" t="s">
        <v>35</v>
      </c>
      <c r="C28" s="33" t="s">
        <v>36</v>
      </c>
      <c r="D28" s="33" t="s">
        <v>37</v>
      </c>
      <c r="E28" s="33" t="s">
        <v>38</v>
      </c>
      <c r="F28" s="33"/>
      <c r="G28" s="34" t="s">
        <v>33</v>
      </c>
    </row>
    <row r="29" spans="1:21" ht="15.75" thickBot="1" x14ac:dyDescent="0.3">
      <c r="A29" s="27"/>
      <c r="B29" s="36">
        <f>B144</f>
        <v>0.22</v>
      </c>
      <c r="C29" s="36">
        <f>B143</f>
        <v>0.5</v>
      </c>
      <c r="D29" s="37">
        <v>1</v>
      </c>
      <c r="E29" s="37">
        <v>25</v>
      </c>
      <c r="F29" s="37"/>
      <c r="G29" s="28">
        <f>B29*C29*D29*E29</f>
        <v>2.75</v>
      </c>
    </row>
    <row r="30" spans="1:21" ht="15.75" thickBot="1" x14ac:dyDescent="0.3">
      <c r="A30" s="8"/>
      <c r="B30" s="38"/>
      <c r="C30" s="38"/>
      <c r="D30" s="8"/>
      <c r="E30" s="8"/>
      <c r="F30" s="8"/>
      <c r="G30" s="8"/>
    </row>
    <row r="31" spans="1:21" ht="15.75" thickBot="1" x14ac:dyDescent="0.3">
      <c r="A31" s="251" t="s">
        <v>40</v>
      </c>
      <c r="B31" s="252"/>
      <c r="C31" s="252"/>
      <c r="D31" s="252"/>
      <c r="E31" s="252"/>
      <c r="F31" s="252"/>
      <c r="G31" s="253"/>
    </row>
    <row r="32" spans="1:21" x14ac:dyDescent="0.25">
      <c r="A32" s="32"/>
      <c r="B32" s="33" t="s">
        <v>35</v>
      </c>
      <c r="C32" s="33" t="s">
        <v>36</v>
      </c>
      <c r="D32" s="33" t="s">
        <v>37</v>
      </c>
      <c r="E32" s="33" t="s">
        <v>21</v>
      </c>
      <c r="F32" s="33"/>
      <c r="G32" s="34" t="s">
        <v>33</v>
      </c>
    </row>
    <row r="33" spans="1:10" ht="15.75" thickBot="1" x14ac:dyDescent="0.3">
      <c r="A33" s="27"/>
      <c r="B33" s="39">
        <f>3.2-0.5</f>
        <v>2.7</v>
      </c>
      <c r="C33" s="36">
        <v>0.3</v>
      </c>
      <c r="D33" s="37">
        <v>0.7</v>
      </c>
      <c r="E33" s="37">
        <v>25</v>
      </c>
      <c r="F33" s="37"/>
      <c r="G33" s="28">
        <f>B33*C33*D33*E33</f>
        <v>14.174999999999999</v>
      </c>
    </row>
    <row r="34" spans="1:10" ht="15.75" thickBot="1" x14ac:dyDescent="0.3">
      <c r="A34" s="8"/>
      <c r="B34" s="38"/>
      <c r="C34" s="38"/>
      <c r="D34" s="8"/>
      <c r="E34" s="8"/>
      <c r="F34" s="8"/>
      <c r="G34" s="8"/>
    </row>
    <row r="35" spans="1:10" ht="15.75" thickBot="1" x14ac:dyDescent="0.3">
      <c r="A35" s="251" t="s">
        <v>41</v>
      </c>
      <c r="B35" s="252"/>
      <c r="C35" s="252"/>
      <c r="D35" s="252"/>
      <c r="E35" s="252"/>
      <c r="F35" s="252"/>
      <c r="G35" s="253"/>
      <c r="I35" s="269" t="s">
        <v>42</v>
      </c>
      <c r="J35" s="271"/>
    </row>
    <row r="36" spans="1:10" ht="15.75" thickBot="1" x14ac:dyDescent="0.3">
      <c r="A36" s="2"/>
      <c r="B36" s="3" t="s">
        <v>35</v>
      </c>
      <c r="C36" s="3" t="s">
        <v>36</v>
      </c>
      <c r="D36" s="3" t="s">
        <v>37</v>
      </c>
      <c r="E36" s="3" t="s">
        <v>21</v>
      </c>
      <c r="F36" s="3"/>
      <c r="G36" s="4" t="s">
        <v>33</v>
      </c>
      <c r="I36" s="5" t="s">
        <v>8</v>
      </c>
      <c r="J36" s="6">
        <v>150</v>
      </c>
    </row>
    <row r="37" spans="1:10" ht="15.75" thickBot="1" x14ac:dyDescent="0.3">
      <c r="A37" s="9" t="s">
        <v>10</v>
      </c>
      <c r="B37" s="10">
        <v>0.04</v>
      </c>
      <c r="C37" s="10">
        <v>1</v>
      </c>
      <c r="D37" s="10">
        <v>1</v>
      </c>
      <c r="E37" s="10"/>
      <c r="F37" s="10">
        <v>25</v>
      </c>
      <c r="G37" s="11">
        <f>F37*B37</f>
        <v>1</v>
      </c>
      <c r="I37" s="12" t="s">
        <v>11</v>
      </c>
      <c r="J37" s="13">
        <f>J36/8</f>
        <v>18.75</v>
      </c>
    </row>
    <row r="38" spans="1:10" ht="15.75" thickBot="1" x14ac:dyDescent="0.3">
      <c r="A38" s="15" t="s">
        <v>13</v>
      </c>
      <c r="B38" s="16">
        <v>0.22</v>
      </c>
      <c r="C38" s="16">
        <v>0.08</v>
      </c>
      <c r="D38" s="16">
        <v>1</v>
      </c>
      <c r="E38" s="16"/>
      <c r="F38" s="16">
        <v>25</v>
      </c>
      <c r="G38" s="17">
        <f>3*F38*B38*C38</f>
        <v>1.32</v>
      </c>
      <c r="I38" s="18" t="s">
        <v>14</v>
      </c>
      <c r="J38" s="19">
        <v>20</v>
      </c>
    </row>
    <row r="39" spans="1:10" x14ac:dyDescent="0.25">
      <c r="A39" s="15" t="s">
        <v>16</v>
      </c>
      <c r="B39" s="16">
        <v>0.22</v>
      </c>
      <c r="C39" s="16">
        <v>0.33</v>
      </c>
      <c r="D39" s="16">
        <v>0.4</v>
      </c>
      <c r="E39" s="16">
        <v>8.5000000000000006E-2</v>
      </c>
      <c r="F39" s="16"/>
      <c r="G39" s="17">
        <f>E39*J7</f>
        <v>0.63750000000000007</v>
      </c>
    </row>
    <row r="40" spans="1:10" ht="15.75" thickBot="1" x14ac:dyDescent="0.3">
      <c r="A40" s="21" t="s">
        <v>17</v>
      </c>
      <c r="B40" s="22"/>
      <c r="C40" s="22"/>
      <c r="D40" s="22"/>
      <c r="E40" s="22"/>
      <c r="F40" s="22"/>
      <c r="G40" s="23">
        <f>SUM(G37:G39)</f>
        <v>2.9575000000000005</v>
      </c>
    </row>
    <row r="41" spans="1:10" ht="15.75" thickBot="1" x14ac:dyDescent="0.3">
      <c r="A41" s="2"/>
      <c r="B41" s="40" t="s">
        <v>18</v>
      </c>
      <c r="C41" s="40" t="s">
        <v>19</v>
      </c>
      <c r="D41" s="40" t="s">
        <v>20</v>
      </c>
      <c r="E41" s="40"/>
      <c r="F41" s="40" t="s">
        <v>21</v>
      </c>
      <c r="G41" s="41" t="s">
        <v>22</v>
      </c>
    </row>
    <row r="42" spans="1:10" x14ac:dyDescent="0.25">
      <c r="A42" s="9" t="s">
        <v>24</v>
      </c>
      <c r="B42" s="42">
        <v>1</v>
      </c>
      <c r="C42" s="42">
        <v>1</v>
      </c>
      <c r="D42" s="16">
        <v>0.04</v>
      </c>
      <c r="E42" s="16"/>
      <c r="F42" s="16">
        <v>4.57</v>
      </c>
      <c r="G42" s="16">
        <f>B42*C42*D42*F42</f>
        <v>0.18280000000000002</v>
      </c>
    </row>
    <row r="43" spans="1:10" x14ac:dyDescent="0.25">
      <c r="A43" s="15" t="s">
        <v>25</v>
      </c>
      <c r="B43" s="42">
        <v>1</v>
      </c>
      <c r="C43" s="42">
        <v>1</v>
      </c>
      <c r="D43" s="16">
        <v>0.02</v>
      </c>
      <c r="E43" s="16"/>
      <c r="F43" s="16">
        <v>27</v>
      </c>
      <c r="G43" s="16">
        <f>B43*C43*D43*F43</f>
        <v>0.54</v>
      </c>
    </row>
    <row r="44" spans="1:10" x14ac:dyDescent="0.25">
      <c r="A44" s="15" t="s">
        <v>27</v>
      </c>
      <c r="B44" s="42">
        <v>1</v>
      </c>
      <c r="C44" s="42">
        <v>1</v>
      </c>
      <c r="D44" s="16">
        <v>0.02</v>
      </c>
      <c r="E44" s="16"/>
      <c r="F44" s="16">
        <v>20</v>
      </c>
      <c r="G44" s="16">
        <f>B44*C44*D44*F44</f>
        <v>0.4</v>
      </c>
    </row>
    <row r="45" spans="1:10" ht="15.75" thickBot="1" x14ac:dyDescent="0.3">
      <c r="A45" s="29" t="s">
        <v>17</v>
      </c>
      <c r="B45" s="30"/>
      <c r="C45" s="30"/>
      <c r="D45" s="30"/>
      <c r="E45" s="30"/>
      <c r="F45" s="30"/>
      <c r="G45" s="31">
        <f>SUM(G42:G44)</f>
        <v>1.1228000000000002</v>
      </c>
    </row>
    <row r="46" spans="1:10" x14ac:dyDescent="0.25">
      <c r="A46" s="8"/>
      <c r="B46" s="38"/>
      <c r="C46" s="38"/>
      <c r="D46" s="8"/>
      <c r="E46" s="8"/>
      <c r="F46" s="8"/>
      <c r="G46" s="8"/>
    </row>
    <row r="48" spans="1:10" ht="15.75" thickBot="1" x14ac:dyDescent="0.3">
      <c r="A48" s="8"/>
      <c r="B48" s="38"/>
      <c r="C48" s="38"/>
      <c r="D48" s="8"/>
      <c r="E48" s="8"/>
      <c r="F48" s="8"/>
      <c r="G48" s="8"/>
    </row>
    <row r="49" spans="1:13" ht="15.75" thickBot="1" x14ac:dyDescent="0.3">
      <c r="A49" s="43"/>
      <c r="B49" s="44" t="s">
        <v>43</v>
      </c>
      <c r="C49" s="44" t="s">
        <v>44</v>
      </c>
      <c r="D49" s="44" t="s">
        <v>45</v>
      </c>
      <c r="E49" s="44" t="s">
        <v>46</v>
      </c>
      <c r="F49" s="44" t="s">
        <v>47</v>
      </c>
      <c r="G49" s="44" t="s">
        <v>48</v>
      </c>
      <c r="H49" s="44" t="s">
        <v>49</v>
      </c>
      <c r="I49" s="45" t="s">
        <v>140</v>
      </c>
      <c r="J49" s="45" t="s">
        <v>50</v>
      </c>
    </row>
    <row r="50" spans="1:13" x14ac:dyDescent="0.25">
      <c r="A50" s="46" t="s">
        <v>51</v>
      </c>
      <c r="B50" s="42">
        <f>G6+G11</f>
        <v>4.2631000000000006</v>
      </c>
      <c r="C50" s="16">
        <v>1.2</v>
      </c>
      <c r="D50" s="16">
        <v>2</v>
      </c>
      <c r="E50" s="42">
        <f t="shared" ref="E50:E57" si="0">1.3*B50</f>
        <v>5.5420300000000013</v>
      </c>
      <c r="F50" s="16">
        <f>1.5*C50</f>
        <v>1.7999999999999998</v>
      </c>
      <c r="G50" s="16">
        <f>1.5*D50</f>
        <v>3</v>
      </c>
      <c r="H50" s="42">
        <f t="shared" ref="H50:H57" si="1">E50+G50</f>
        <v>8.5420300000000005</v>
      </c>
      <c r="I50" s="42">
        <v>0.3</v>
      </c>
      <c r="J50" s="47">
        <f>(B50+C50)+I50*D50</f>
        <v>6.0631000000000004</v>
      </c>
    </row>
    <row r="51" spans="1:13" x14ac:dyDescent="0.25">
      <c r="A51" s="48" t="s">
        <v>52</v>
      </c>
      <c r="B51" s="42">
        <f>G17</f>
        <v>5.9440000000000008</v>
      </c>
      <c r="C51" s="16"/>
      <c r="D51" s="16"/>
      <c r="E51" s="42">
        <f t="shared" si="0"/>
        <v>7.7272000000000016</v>
      </c>
      <c r="F51" s="16"/>
      <c r="G51" s="16"/>
      <c r="H51" s="42">
        <f t="shared" si="1"/>
        <v>7.7272000000000016</v>
      </c>
      <c r="I51" s="42"/>
      <c r="J51" s="47">
        <f t="shared" ref="J51:J57" si="2">(B51+C51)+I51*D51</f>
        <v>5.9440000000000008</v>
      </c>
    </row>
    <row r="52" spans="1:13" x14ac:dyDescent="0.25">
      <c r="A52" s="48" t="s">
        <v>41</v>
      </c>
      <c r="B52" s="42">
        <f>G40</f>
        <v>2.9575000000000005</v>
      </c>
      <c r="C52" s="16"/>
      <c r="D52" s="16">
        <v>4</v>
      </c>
      <c r="E52" s="42">
        <f t="shared" si="0"/>
        <v>3.8447500000000008</v>
      </c>
      <c r="F52" s="16"/>
      <c r="G52" s="16">
        <f>1.5*E52</f>
        <v>5.7671250000000009</v>
      </c>
      <c r="H52" s="42">
        <f t="shared" si="1"/>
        <v>9.6118750000000013</v>
      </c>
      <c r="I52" s="42">
        <v>0.6</v>
      </c>
      <c r="J52" s="47">
        <f t="shared" si="2"/>
        <v>5.3574999999999999</v>
      </c>
    </row>
    <row r="53" spans="1:13" x14ac:dyDescent="0.25">
      <c r="A53" s="48" t="s">
        <v>126</v>
      </c>
      <c r="B53" s="42">
        <f>E109</f>
        <v>3.6127500000000001</v>
      </c>
      <c r="C53" s="16"/>
      <c r="D53" s="16">
        <v>4</v>
      </c>
      <c r="E53" s="42">
        <f t="shared" si="0"/>
        <v>4.6965750000000002</v>
      </c>
      <c r="F53" s="16"/>
      <c r="G53" s="16"/>
      <c r="H53" s="42">
        <f>E53+G53</f>
        <v>4.6965750000000002</v>
      </c>
      <c r="I53" s="42"/>
      <c r="J53" s="47">
        <f t="shared" si="2"/>
        <v>3.6127500000000001</v>
      </c>
    </row>
    <row r="54" spans="1:13" x14ac:dyDescent="0.25">
      <c r="A54" s="48" t="s">
        <v>53</v>
      </c>
      <c r="B54" s="42">
        <f>E130</f>
        <v>3.6127500000000001</v>
      </c>
      <c r="C54" s="16"/>
      <c r="D54" s="16"/>
      <c r="E54" s="42">
        <f t="shared" si="0"/>
        <v>4.6965750000000002</v>
      </c>
      <c r="F54" s="16"/>
      <c r="G54" s="16"/>
      <c r="H54" s="42">
        <f t="shared" si="1"/>
        <v>4.6965750000000002</v>
      </c>
      <c r="I54" s="42"/>
      <c r="J54" s="47">
        <f t="shared" si="2"/>
        <v>3.6127500000000001</v>
      </c>
    </row>
    <row r="55" spans="1:13" x14ac:dyDescent="0.25">
      <c r="A55" s="49" t="s">
        <v>54</v>
      </c>
      <c r="B55" s="42">
        <f>B149</f>
        <v>2.0993499999999998</v>
      </c>
      <c r="C55" s="16"/>
      <c r="D55" s="16"/>
      <c r="E55" s="42">
        <f t="shared" si="0"/>
        <v>2.729155</v>
      </c>
      <c r="F55" s="16"/>
      <c r="G55" s="16"/>
      <c r="H55" s="42">
        <f t="shared" si="1"/>
        <v>2.729155</v>
      </c>
      <c r="I55" s="42"/>
      <c r="J55" s="47">
        <f t="shared" si="2"/>
        <v>2.0993499999999998</v>
      </c>
    </row>
    <row r="56" spans="1:13" x14ac:dyDescent="0.25">
      <c r="A56" s="49" t="s">
        <v>55</v>
      </c>
      <c r="B56" s="42">
        <f>G33+G45</f>
        <v>15.297799999999999</v>
      </c>
      <c r="C56" s="16"/>
      <c r="D56" s="16"/>
      <c r="E56" s="42">
        <f t="shared" si="0"/>
        <v>19.887139999999999</v>
      </c>
      <c r="F56" s="16"/>
      <c r="G56" s="16"/>
      <c r="H56" s="42">
        <f t="shared" si="1"/>
        <v>19.887139999999999</v>
      </c>
      <c r="I56" s="42"/>
      <c r="J56" s="47">
        <f t="shared" si="2"/>
        <v>15.297799999999999</v>
      </c>
    </row>
    <row r="57" spans="1:13" ht="15.75" thickBot="1" x14ac:dyDescent="0.3">
      <c r="A57" s="50" t="s">
        <v>56</v>
      </c>
      <c r="B57" s="51">
        <v>4.8</v>
      </c>
      <c r="C57" s="37"/>
      <c r="D57" s="37">
        <v>4</v>
      </c>
      <c r="E57" s="36">
        <f t="shared" si="0"/>
        <v>6.24</v>
      </c>
      <c r="F57" s="37"/>
      <c r="G57" s="37">
        <f>1.5*D57</f>
        <v>6</v>
      </c>
      <c r="H57" s="36">
        <f t="shared" si="1"/>
        <v>12.24</v>
      </c>
      <c r="I57" s="36">
        <v>0.6</v>
      </c>
      <c r="J57" s="47">
        <f t="shared" si="2"/>
        <v>7.1999999999999993</v>
      </c>
    </row>
    <row r="58" spans="1:13" ht="15.75" thickBot="1" x14ac:dyDescent="0.3"/>
    <row r="59" spans="1:13" x14ac:dyDescent="0.25">
      <c r="A59" s="53" t="s">
        <v>125</v>
      </c>
      <c r="B59" s="54" t="s">
        <v>58</v>
      </c>
      <c r="C59" s="54" t="s">
        <v>59</v>
      </c>
      <c r="D59" s="54" t="s">
        <v>60</v>
      </c>
      <c r="E59" s="54" t="s">
        <v>61</v>
      </c>
      <c r="F59" s="54" t="s">
        <v>62</v>
      </c>
      <c r="G59" s="54" t="s">
        <v>63</v>
      </c>
      <c r="H59" s="54" t="s">
        <v>48</v>
      </c>
      <c r="I59" s="54" t="s">
        <v>49</v>
      </c>
      <c r="J59" s="54" t="s">
        <v>64</v>
      </c>
      <c r="K59" s="54" t="s">
        <v>45</v>
      </c>
      <c r="L59" s="54" t="s">
        <v>65</v>
      </c>
      <c r="M59" s="55" t="s">
        <v>66</v>
      </c>
    </row>
    <row r="60" spans="1:13" x14ac:dyDescent="0.25">
      <c r="A60" s="15" t="s">
        <v>67</v>
      </c>
      <c r="B60" s="16">
        <v>1</v>
      </c>
      <c r="C60" s="16">
        <v>1.2</v>
      </c>
      <c r="D60" s="16">
        <v>5.8</v>
      </c>
      <c r="E60" s="240" t="s">
        <v>68</v>
      </c>
      <c r="F60" s="57">
        <f>B88</f>
        <v>3.27</v>
      </c>
      <c r="G60" s="42">
        <f>($F$50+$E$50)*F60</f>
        <v>24.008438100000003</v>
      </c>
      <c r="H60" s="16">
        <f>$G$50*F60</f>
        <v>9.81</v>
      </c>
      <c r="I60" s="42">
        <f>G60+H60</f>
        <v>33.818438100000002</v>
      </c>
      <c r="J60" s="42">
        <f>($B$50+$C$50)*F60</f>
        <v>17.864337000000003</v>
      </c>
      <c r="K60" s="16">
        <f>$D$50*F60</f>
        <v>6.54</v>
      </c>
      <c r="L60" s="16">
        <v>0.3</v>
      </c>
      <c r="M60" s="47">
        <f>J60+L60*K60</f>
        <v>19.826337000000002</v>
      </c>
    </row>
    <row r="61" spans="1:13" x14ac:dyDescent="0.25">
      <c r="A61" s="15" t="s">
        <v>41</v>
      </c>
      <c r="B61" s="57"/>
      <c r="C61" s="57"/>
      <c r="D61" s="57"/>
      <c r="E61" s="58">
        <v>5.8</v>
      </c>
      <c r="F61" s="57">
        <f>B88</f>
        <v>3.27</v>
      </c>
      <c r="G61" s="42">
        <f>(E52)*F61</f>
        <v>12.572332500000003</v>
      </c>
      <c r="H61" s="100">
        <f>G52</f>
        <v>5.7671250000000009</v>
      </c>
      <c r="I61" s="42">
        <f>G61+H61</f>
        <v>18.339457500000005</v>
      </c>
      <c r="J61" s="42">
        <f>(B52)*F61</f>
        <v>9.671025000000002</v>
      </c>
      <c r="K61" s="16">
        <f>D52*F61</f>
        <v>13.08</v>
      </c>
      <c r="L61" s="16">
        <v>0.6</v>
      </c>
      <c r="M61" s="47">
        <f>J61+L61*K61</f>
        <v>17.519025000000003</v>
      </c>
    </row>
    <row r="62" spans="1:13" x14ac:dyDescent="0.25">
      <c r="A62" s="15" t="s">
        <v>52</v>
      </c>
      <c r="B62" s="57"/>
      <c r="C62" s="57"/>
      <c r="D62" s="57">
        <v>5.8</v>
      </c>
      <c r="E62" s="58"/>
      <c r="F62" s="57">
        <f>B88</f>
        <v>3.27</v>
      </c>
      <c r="G62" s="100">
        <f>E51</f>
        <v>7.7272000000000016</v>
      </c>
      <c r="H62" s="57"/>
      <c r="I62" s="42">
        <f>G62+H62</f>
        <v>7.7272000000000016</v>
      </c>
      <c r="J62" s="100">
        <f>B51</f>
        <v>5.9440000000000008</v>
      </c>
      <c r="K62" s="57"/>
      <c r="L62" s="16"/>
      <c r="M62" s="47">
        <f>J62+L62*K62</f>
        <v>5.9440000000000008</v>
      </c>
    </row>
    <row r="63" spans="1:13" x14ac:dyDescent="0.25">
      <c r="A63" s="15" t="s">
        <v>69</v>
      </c>
      <c r="B63" s="16"/>
      <c r="C63" s="16"/>
      <c r="D63" s="16"/>
      <c r="E63" s="240" t="s">
        <v>68</v>
      </c>
      <c r="F63" s="57">
        <f>B88</f>
        <v>3.27</v>
      </c>
      <c r="G63" s="42">
        <f>E53</f>
        <v>4.6965750000000002</v>
      </c>
      <c r="H63" s="16"/>
      <c r="I63" s="42">
        <f>G63+H63</f>
        <v>4.6965750000000002</v>
      </c>
      <c r="J63" s="100">
        <f>B52</f>
        <v>2.9575000000000005</v>
      </c>
      <c r="K63" s="16"/>
      <c r="L63" s="16"/>
      <c r="M63" s="47">
        <f>J63+L63*K63</f>
        <v>2.9575000000000005</v>
      </c>
    </row>
    <row r="64" spans="1:13" ht="15.75" thickBot="1" x14ac:dyDescent="0.3">
      <c r="A64" s="254" t="s">
        <v>17</v>
      </c>
      <c r="B64" s="255"/>
      <c r="C64" s="255"/>
      <c r="D64" s="255"/>
      <c r="E64" s="255"/>
      <c r="F64" s="255"/>
      <c r="G64" s="255"/>
      <c r="H64" s="256"/>
      <c r="I64" s="62">
        <f>I60+I63</f>
        <v>38.515013100000004</v>
      </c>
      <c r="J64" s="257"/>
      <c r="K64" s="258"/>
      <c r="L64" s="259"/>
      <c r="M64" s="63">
        <f>M60+M63</f>
        <v>22.783837000000002</v>
      </c>
    </row>
    <row r="65" spans="1:20" ht="15.75" thickBot="1" x14ac:dyDescent="0.3"/>
    <row r="66" spans="1:20" x14ac:dyDescent="0.25">
      <c r="A66" s="53" t="s">
        <v>57</v>
      </c>
      <c r="B66" s="54" t="s">
        <v>58</v>
      </c>
      <c r="C66" s="54" t="s">
        <v>59</v>
      </c>
      <c r="D66" s="54" t="s">
        <v>60</v>
      </c>
      <c r="E66" s="54" t="s">
        <v>61</v>
      </c>
      <c r="F66" s="54" t="s">
        <v>62</v>
      </c>
      <c r="G66" s="54" t="s">
        <v>63</v>
      </c>
      <c r="H66" s="54" t="s">
        <v>48</v>
      </c>
      <c r="I66" s="54" t="s">
        <v>49</v>
      </c>
      <c r="J66" s="54" t="s">
        <v>64</v>
      </c>
      <c r="K66" s="54" t="s">
        <v>45</v>
      </c>
      <c r="L66" s="54" t="s">
        <v>65</v>
      </c>
      <c r="M66" s="55" t="s">
        <v>66</v>
      </c>
    </row>
    <row r="67" spans="1:20" x14ac:dyDescent="0.25">
      <c r="A67" s="15" t="s">
        <v>67</v>
      </c>
      <c r="B67" s="16">
        <v>1</v>
      </c>
      <c r="C67" s="16">
        <v>1.2</v>
      </c>
      <c r="D67" s="16">
        <v>5.8</v>
      </c>
      <c r="E67" s="240" t="s">
        <v>68</v>
      </c>
      <c r="F67" s="16">
        <f>$B$89</f>
        <v>5.82</v>
      </c>
      <c r="G67" s="42">
        <f>($F$50+$E$50)*F67</f>
        <v>42.73061460000001</v>
      </c>
      <c r="H67" s="42">
        <f>$G$50*F67</f>
        <v>17.46</v>
      </c>
      <c r="I67" s="42">
        <f>G67+H67</f>
        <v>60.190614600000011</v>
      </c>
      <c r="J67" s="42">
        <f>($B$50+$C$50)*F67</f>
        <v>31.795242000000005</v>
      </c>
      <c r="K67" s="42">
        <f>$D$50*F67</f>
        <v>11.64</v>
      </c>
      <c r="L67" s="42">
        <v>0.3</v>
      </c>
      <c r="M67" s="47">
        <f>J67+L67*K67</f>
        <v>35.287242000000006</v>
      </c>
      <c r="T67" s="8"/>
    </row>
    <row r="68" spans="1:20" x14ac:dyDescent="0.25">
      <c r="A68" s="15" t="s">
        <v>41</v>
      </c>
      <c r="B68" s="57"/>
      <c r="C68" s="57"/>
      <c r="D68" s="57"/>
      <c r="E68" s="58"/>
      <c r="F68" s="57"/>
      <c r="G68" s="100"/>
      <c r="H68" s="100"/>
      <c r="I68" s="100"/>
      <c r="J68" s="100"/>
      <c r="K68" s="100"/>
      <c r="L68" s="100"/>
      <c r="M68" s="102"/>
      <c r="T68" s="8"/>
    </row>
    <row r="69" spans="1:20" x14ac:dyDescent="0.25">
      <c r="A69" s="15" t="s">
        <v>52</v>
      </c>
      <c r="B69" s="57"/>
      <c r="C69" s="57"/>
      <c r="D69" s="57"/>
      <c r="E69" s="58"/>
      <c r="F69" s="57"/>
      <c r="G69" s="100"/>
      <c r="H69" s="100"/>
      <c r="I69" s="100"/>
      <c r="J69" s="100"/>
      <c r="K69" s="100"/>
      <c r="L69" s="100"/>
      <c r="M69" s="102"/>
    </row>
    <row r="70" spans="1:20" x14ac:dyDescent="0.25">
      <c r="A70" s="15" t="s">
        <v>69</v>
      </c>
      <c r="B70" s="16"/>
      <c r="C70" s="16"/>
      <c r="D70" s="16"/>
      <c r="E70" s="240" t="s">
        <v>68</v>
      </c>
      <c r="F70" s="16"/>
      <c r="G70" s="42">
        <f>E54</f>
        <v>4.6965750000000002</v>
      </c>
      <c r="H70" s="42"/>
      <c r="I70" s="42">
        <f>G70+H70</f>
        <v>4.6965750000000002</v>
      </c>
      <c r="J70" s="42">
        <f>B54+C54</f>
        <v>3.6127500000000001</v>
      </c>
      <c r="K70" s="42">
        <f>D54</f>
        <v>0</v>
      </c>
      <c r="L70" s="42"/>
      <c r="M70" s="47">
        <f>J70+L70*K70</f>
        <v>3.6127500000000001</v>
      </c>
    </row>
    <row r="71" spans="1:20" ht="15.75" thickBot="1" x14ac:dyDescent="0.3">
      <c r="A71" s="254" t="s">
        <v>17</v>
      </c>
      <c r="B71" s="255"/>
      <c r="C71" s="255"/>
      <c r="D71" s="255"/>
      <c r="E71" s="255"/>
      <c r="F71" s="255"/>
      <c r="G71" s="255"/>
      <c r="H71" s="256"/>
      <c r="I71" s="62">
        <f>I67+I70</f>
        <v>64.887189600000013</v>
      </c>
      <c r="J71" s="257"/>
      <c r="K71" s="258"/>
      <c r="L71" s="259"/>
      <c r="M71" s="63">
        <f>M67+M70</f>
        <v>38.899992000000005</v>
      </c>
    </row>
    <row r="72" spans="1:20" ht="15.75" thickBot="1" x14ac:dyDescent="0.3"/>
    <row r="73" spans="1:20" x14ac:dyDescent="0.25">
      <c r="A73" s="53" t="s">
        <v>70</v>
      </c>
      <c r="B73" s="54" t="s">
        <v>58</v>
      </c>
      <c r="C73" s="54" t="s">
        <v>59</v>
      </c>
      <c r="D73" s="54" t="s">
        <v>60</v>
      </c>
      <c r="E73" s="54" t="s">
        <v>71</v>
      </c>
      <c r="F73" s="54" t="s">
        <v>62</v>
      </c>
      <c r="G73" s="54" t="s">
        <v>63</v>
      </c>
      <c r="H73" s="54" t="s">
        <v>48</v>
      </c>
      <c r="I73" s="54" t="s">
        <v>49</v>
      </c>
      <c r="J73" s="54" t="s">
        <v>72</v>
      </c>
      <c r="K73" s="54" t="s">
        <v>45</v>
      </c>
      <c r="L73" s="54" t="s">
        <v>65</v>
      </c>
      <c r="M73" s="55" t="s">
        <v>73</v>
      </c>
    </row>
    <row r="74" spans="1:20" x14ac:dyDescent="0.25">
      <c r="A74" s="105" t="s">
        <v>51</v>
      </c>
      <c r="B74" s="42">
        <v>1.2</v>
      </c>
      <c r="C74" s="42">
        <v>1.2</v>
      </c>
      <c r="D74" s="42">
        <v>5.2</v>
      </c>
      <c r="E74" s="106"/>
      <c r="F74" s="42">
        <f>B90</f>
        <v>1.2</v>
      </c>
      <c r="G74" s="42">
        <f>($F$50+$E$50)*F74</f>
        <v>8.810436000000001</v>
      </c>
      <c r="H74" s="42">
        <f>$G$50*F74</f>
        <v>3.5999999999999996</v>
      </c>
      <c r="I74" s="42">
        <f>G74+H74</f>
        <v>12.410436000000001</v>
      </c>
      <c r="J74" s="42">
        <f>($B$50+$C$50)*F74</f>
        <v>6.5557200000000009</v>
      </c>
      <c r="K74" s="42">
        <f>$D$50*F74</f>
        <v>2.4</v>
      </c>
      <c r="L74" s="42">
        <v>0.3</v>
      </c>
      <c r="M74" s="47">
        <f>J74+L74*K74</f>
        <v>7.2757200000000006</v>
      </c>
      <c r="S74" s="8"/>
      <c r="T74" s="8"/>
    </row>
    <row r="75" spans="1:20" x14ac:dyDescent="0.25">
      <c r="A75" s="105" t="s">
        <v>41</v>
      </c>
      <c r="B75" s="100"/>
      <c r="C75" s="100"/>
      <c r="D75" s="100"/>
      <c r="E75" s="107"/>
      <c r="F75" s="100"/>
      <c r="G75" s="100"/>
      <c r="H75" s="100"/>
      <c r="I75" s="100"/>
      <c r="J75" s="100"/>
      <c r="K75" s="100"/>
      <c r="L75" s="100"/>
      <c r="M75" s="102"/>
      <c r="S75" s="8"/>
      <c r="T75" s="8"/>
    </row>
    <row r="76" spans="1:20" x14ac:dyDescent="0.25">
      <c r="A76" s="105" t="s">
        <v>52</v>
      </c>
      <c r="B76" s="100"/>
      <c r="C76" s="100"/>
      <c r="D76" s="100"/>
      <c r="E76" s="107"/>
      <c r="F76" s="100"/>
      <c r="G76" s="100"/>
      <c r="H76" s="100"/>
      <c r="I76" s="100"/>
      <c r="J76" s="100"/>
      <c r="K76" s="100"/>
      <c r="L76" s="100"/>
      <c r="M76" s="102"/>
      <c r="S76" s="8"/>
      <c r="T76" s="8"/>
    </row>
    <row r="77" spans="1:20" x14ac:dyDescent="0.25">
      <c r="A77" s="105" t="s">
        <v>69</v>
      </c>
      <c r="B77" s="42"/>
      <c r="C77" s="42"/>
      <c r="D77" s="42"/>
      <c r="E77" s="106"/>
      <c r="F77" s="42"/>
      <c r="G77" s="42">
        <f>E55</f>
        <v>2.729155</v>
      </c>
      <c r="H77" s="42"/>
      <c r="I77" s="42">
        <f>G77+H77</f>
        <v>2.729155</v>
      </c>
      <c r="J77" s="67">
        <f>B55+C55</f>
        <v>2.0993499999999998</v>
      </c>
      <c r="K77" s="67">
        <f>D55</f>
        <v>0</v>
      </c>
      <c r="L77" s="67"/>
      <c r="M77" s="47">
        <f>J77+L77*K77</f>
        <v>2.0993499999999998</v>
      </c>
      <c r="S77" s="239"/>
      <c r="T77" s="8"/>
    </row>
    <row r="78" spans="1:20" ht="15.75" thickBot="1" x14ac:dyDescent="0.3">
      <c r="A78" s="276" t="s">
        <v>17</v>
      </c>
      <c r="B78" s="277"/>
      <c r="C78" s="277"/>
      <c r="D78" s="277"/>
      <c r="E78" s="277"/>
      <c r="F78" s="277"/>
      <c r="G78" s="277"/>
      <c r="H78" s="278"/>
      <c r="I78" s="96">
        <f>I74+I77</f>
        <v>15.139591000000001</v>
      </c>
      <c r="J78" s="279"/>
      <c r="K78" s="279"/>
      <c r="L78" s="279"/>
      <c r="M78" s="108">
        <f>M74+M77</f>
        <v>9.3750700000000009</v>
      </c>
      <c r="O78" s="8"/>
      <c r="P78" s="8"/>
      <c r="Q78" s="8"/>
      <c r="R78" s="8"/>
      <c r="S78" s="8"/>
      <c r="T78" s="8"/>
    </row>
    <row r="79" spans="1:20" ht="15.75" thickBot="1" x14ac:dyDescent="0.3">
      <c r="A79" s="8"/>
      <c r="B79" s="8"/>
      <c r="C79" s="8"/>
      <c r="D79" s="8"/>
      <c r="O79" s="8"/>
      <c r="P79" s="8"/>
      <c r="Q79" s="8"/>
      <c r="R79" s="8"/>
      <c r="S79" s="8"/>
      <c r="T79" s="8"/>
    </row>
    <row r="80" spans="1:20" ht="15.75" thickBot="1" x14ac:dyDescent="0.3">
      <c r="A80" s="274" t="s">
        <v>75</v>
      </c>
      <c r="B80" s="275"/>
      <c r="I80" s="8"/>
      <c r="J80" s="8"/>
      <c r="L80" s="8"/>
      <c r="M80" s="8"/>
      <c r="O80" s="8"/>
      <c r="P80" s="8"/>
      <c r="Q80" s="8"/>
      <c r="R80" s="8"/>
      <c r="S80" s="8"/>
      <c r="T80" s="8"/>
    </row>
    <row r="81" spans="1:20" ht="15.75" thickBot="1" x14ac:dyDescent="0.3">
      <c r="A81" s="25" t="s">
        <v>76</v>
      </c>
      <c r="B81" s="26">
        <f>5.4</f>
        <v>5.4</v>
      </c>
      <c r="C81" t="s">
        <v>15</v>
      </c>
      <c r="D81" s="18" t="s">
        <v>77</v>
      </c>
      <c r="E81" s="103">
        <v>5.2</v>
      </c>
      <c r="F81" s="19" t="s">
        <v>15</v>
      </c>
      <c r="I81" s="72"/>
      <c r="J81" s="72"/>
      <c r="M81" s="8"/>
      <c r="O81" s="8"/>
      <c r="P81" s="8"/>
      <c r="Q81" s="8"/>
      <c r="R81" s="8"/>
      <c r="S81" s="8"/>
      <c r="T81" s="8"/>
    </row>
    <row r="82" spans="1:20" ht="15.75" thickBot="1" x14ac:dyDescent="0.3">
      <c r="A82" s="15" t="s">
        <v>70</v>
      </c>
      <c r="B82" s="17">
        <f>5.2</f>
        <v>5.2</v>
      </c>
      <c r="C82" t="s">
        <v>15</v>
      </c>
      <c r="D82" s="12" t="s">
        <v>78</v>
      </c>
      <c r="E82" s="73">
        <v>5.15</v>
      </c>
      <c r="F82" s="13" t="s">
        <v>15</v>
      </c>
      <c r="I82" s="8"/>
      <c r="J82" s="8"/>
      <c r="L82" s="72"/>
      <c r="M82" s="72"/>
      <c r="O82" s="8"/>
      <c r="P82" s="8"/>
      <c r="Q82" s="8"/>
      <c r="R82" s="8"/>
      <c r="S82" s="8"/>
      <c r="T82" s="8"/>
    </row>
    <row r="83" spans="1:20" ht="15.75" thickBot="1" x14ac:dyDescent="0.3">
      <c r="A83" s="15" t="s">
        <v>79</v>
      </c>
      <c r="B83" s="47">
        <f>B115</f>
        <v>6</v>
      </c>
      <c r="C83" t="s">
        <v>15</v>
      </c>
      <c r="D83" s="12" t="s">
        <v>128</v>
      </c>
      <c r="E83" s="73">
        <v>5.45</v>
      </c>
      <c r="F83" s="13" t="s">
        <v>15</v>
      </c>
      <c r="I83" s="8"/>
      <c r="J83" s="8"/>
      <c r="L83" s="8"/>
      <c r="M83" s="8"/>
      <c r="O83" s="8"/>
      <c r="P83" s="8"/>
      <c r="Q83" s="8"/>
      <c r="R83" s="8"/>
      <c r="S83" s="8"/>
      <c r="T83" s="8"/>
    </row>
    <row r="84" spans="1:20" ht="15.75" thickBot="1" x14ac:dyDescent="0.3">
      <c r="A84" s="27" t="s">
        <v>80</v>
      </c>
      <c r="B84" s="28">
        <f>5.15</f>
        <v>5.15</v>
      </c>
      <c r="C84" t="s">
        <v>15</v>
      </c>
      <c r="I84" s="8"/>
      <c r="J84" s="8"/>
      <c r="L84" s="8"/>
      <c r="M84" s="8"/>
      <c r="O84" s="8"/>
      <c r="P84" s="8"/>
      <c r="Q84" s="8"/>
      <c r="R84" s="8"/>
      <c r="S84" s="8"/>
      <c r="T84" s="8"/>
    </row>
    <row r="85" spans="1:20" ht="15.75" thickBot="1" x14ac:dyDescent="0.3">
      <c r="I85" s="8"/>
      <c r="J85" s="8"/>
      <c r="L85" s="8"/>
      <c r="M85" s="8"/>
      <c r="O85" s="8"/>
      <c r="P85" s="8"/>
      <c r="Q85" s="8"/>
      <c r="R85" s="8"/>
      <c r="S85" s="8"/>
      <c r="T85" s="8"/>
    </row>
    <row r="86" spans="1:20" x14ac:dyDescent="0.25">
      <c r="A86" s="25" t="s">
        <v>81</v>
      </c>
      <c r="B86" s="26">
        <v>1</v>
      </c>
      <c r="I86" s="8"/>
      <c r="J86" s="8"/>
      <c r="L86" s="8"/>
      <c r="M86" s="8"/>
      <c r="O86" s="8"/>
      <c r="P86" s="8"/>
      <c r="Q86" s="8"/>
      <c r="R86" s="8"/>
      <c r="S86" s="8"/>
      <c r="T86" s="8"/>
    </row>
    <row r="87" spans="1:20" x14ac:dyDescent="0.25">
      <c r="A87" s="15" t="s">
        <v>82</v>
      </c>
      <c r="B87" s="17">
        <v>1.2</v>
      </c>
      <c r="I87" s="8"/>
      <c r="J87" s="8"/>
      <c r="K87" s="8"/>
      <c r="M87" s="8"/>
      <c r="O87" s="8"/>
      <c r="P87" s="8"/>
      <c r="Q87" s="8"/>
      <c r="R87" s="8"/>
      <c r="S87" s="8"/>
      <c r="T87" s="8"/>
    </row>
    <row r="88" spans="1:20" x14ac:dyDescent="0.25">
      <c r="A88" s="74" t="s">
        <v>130</v>
      </c>
      <c r="B88" s="75">
        <f>((E83*B87))/2</f>
        <v>3.27</v>
      </c>
      <c r="I88" s="8"/>
      <c r="J88" s="8"/>
      <c r="K88" s="8"/>
      <c r="M88" s="8"/>
      <c r="O88" s="8"/>
      <c r="P88" s="8"/>
      <c r="Q88" s="8"/>
      <c r="R88" s="8"/>
      <c r="S88" s="8"/>
      <c r="T88" s="8"/>
    </row>
    <row r="89" spans="1:20" x14ac:dyDescent="0.25">
      <c r="A89" s="74" t="s">
        <v>129</v>
      </c>
      <c r="B89" s="75">
        <f>((B81*B86)+(B82*B87))/2</f>
        <v>5.82</v>
      </c>
      <c r="I89" s="8"/>
      <c r="K89" s="72"/>
      <c r="M89" s="8"/>
      <c r="O89" s="8"/>
      <c r="P89" s="8"/>
      <c r="Q89" s="8"/>
      <c r="R89" s="8"/>
      <c r="S89" s="8"/>
      <c r="T89" s="8"/>
    </row>
    <row r="90" spans="1:20" ht="15.75" thickBot="1" x14ac:dyDescent="0.3">
      <c r="A90" s="21" t="s">
        <v>83</v>
      </c>
      <c r="B90" s="23">
        <f>(0.5*B87+0.5*B87)</f>
        <v>1.2</v>
      </c>
      <c r="I90" s="72"/>
      <c r="K90" s="8"/>
      <c r="M90" s="8"/>
      <c r="O90" s="8"/>
      <c r="P90" s="8"/>
      <c r="Q90" s="8"/>
      <c r="R90" s="8"/>
      <c r="S90" s="8"/>
      <c r="T90" s="8"/>
    </row>
    <row r="91" spans="1:20" ht="15.75" thickBot="1" x14ac:dyDescent="0.3">
      <c r="I91" s="72"/>
      <c r="K91" s="8"/>
      <c r="M91" s="8"/>
      <c r="O91" s="8"/>
      <c r="P91" s="8"/>
      <c r="Q91" s="8"/>
      <c r="R91" s="8"/>
      <c r="S91" s="8"/>
      <c r="T91" s="8"/>
    </row>
    <row r="92" spans="1:20" ht="15.75" thickBot="1" x14ac:dyDescent="0.3">
      <c r="A92" s="269" t="s">
        <v>131</v>
      </c>
      <c r="B92" s="270"/>
      <c r="C92" s="270"/>
      <c r="D92" s="270"/>
      <c r="E92" s="271"/>
      <c r="I92" s="72"/>
      <c r="K92" s="8"/>
      <c r="M92" s="8"/>
      <c r="O92" s="8"/>
      <c r="P92" s="8"/>
      <c r="Q92" s="8"/>
      <c r="R92" s="8"/>
      <c r="S92" s="8"/>
      <c r="T92" s="8"/>
    </row>
    <row r="93" spans="1:20" ht="15.75" thickBot="1" x14ac:dyDescent="0.3">
      <c r="I93" s="72"/>
      <c r="K93" s="8"/>
      <c r="M93" s="8"/>
      <c r="O93" s="8"/>
      <c r="P93" s="8"/>
      <c r="Q93" s="8"/>
      <c r="R93" s="8"/>
      <c r="S93" s="8"/>
      <c r="T93" s="8"/>
    </row>
    <row r="94" spans="1:20" ht="15.75" thickBot="1" x14ac:dyDescent="0.3">
      <c r="A94" s="76" t="s">
        <v>85</v>
      </c>
      <c r="B94" s="77">
        <v>6</v>
      </c>
      <c r="I94" s="72"/>
      <c r="K94" s="8"/>
      <c r="M94" s="8"/>
      <c r="O94" s="8"/>
      <c r="P94" s="8"/>
      <c r="Q94" s="8"/>
      <c r="R94" s="8"/>
      <c r="S94" s="8"/>
      <c r="T94" s="8"/>
    </row>
    <row r="95" spans="1:20" ht="15.75" thickBot="1" x14ac:dyDescent="0.3">
      <c r="A95" s="78" t="s">
        <v>86</v>
      </c>
      <c r="B95" s="28">
        <v>0.02</v>
      </c>
      <c r="I95" s="72"/>
      <c r="K95" s="8"/>
      <c r="M95" s="8"/>
      <c r="O95" s="8"/>
      <c r="P95" s="8"/>
      <c r="Q95" s="8"/>
      <c r="R95" s="8"/>
      <c r="S95" s="8"/>
      <c r="T95" s="8"/>
    </row>
    <row r="96" spans="1:20" ht="15.75" thickBot="1" x14ac:dyDescent="0.3">
      <c r="I96" s="72"/>
      <c r="K96" s="8"/>
      <c r="M96" s="8"/>
      <c r="O96" s="8"/>
      <c r="P96" s="8"/>
      <c r="Q96" s="8"/>
      <c r="R96" s="8"/>
      <c r="S96" s="8"/>
      <c r="T96" s="8"/>
    </row>
    <row r="97" spans="1:20" ht="15.75" thickBot="1" x14ac:dyDescent="0.3">
      <c r="A97" s="272" t="s">
        <v>87</v>
      </c>
      <c r="B97" s="273"/>
      <c r="D97" s="272" t="s">
        <v>88</v>
      </c>
      <c r="E97" s="273"/>
      <c r="I97" s="72"/>
      <c r="K97" s="8"/>
      <c r="M97" s="8"/>
      <c r="O97" s="8"/>
      <c r="P97" s="8"/>
      <c r="Q97" s="8"/>
      <c r="R97" s="8"/>
      <c r="S97" s="8"/>
      <c r="T97" s="8"/>
    </row>
    <row r="98" spans="1:20" ht="15.75" thickBot="1" x14ac:dyDescent="0.3">
      <c r="A98" s="32" t="s">
        <v>89</v>
      </c>
      <c r="B98" s="79">
        <f>I64</f>
        <v>38.515013100000004</v>
      </c>
      <c r="D98" s="53" t="s">
        <v>90</v>
      </c>
      <c r="E98" s="80">
        <f>M64</f>
        <v>22.783837000000002</v>
      </c>
      <c r="I98" s="72"/>
      <c r="K98" s="8"/>
      <c r="M98" s="8"/>
      <c r="O98" s="8"/>
      <c r="P98" s="8"/>
      <c r="Q98" s="8"/>
      <c r="R98" s="8"/>
      <c r="S98" s="8"/>
      <c r="T98" s="8"/>
    </row>
    <row r="99" spans="1:20" ht="15.75" thickBot="1" x14ac:dyDescent="0.3">
      <c r="A99" s="53" t="s">
        <v>91</v>
      </c>
      <c r="B99" s="52">
        <f>(B98*B94^2)/10</f>
        <v>138.65404716000003</v>
      </c>
      <c r="D99" s="76" t="s">
        <v>92</v>
      </c>
      <c r="E99" s="52">
        <f>(E98*B94^2)/10</f>
        <v>82.021813200000011</v>
      </c>
      <c r="I99" s="72"/>
      <c r="K99" s="8"/>
      <c r="M99" s="8"/>
      <c r="O99" s="8"/>
      <c r="P99" s="8"/>
      <c r="Q99" s="8"/>
      <c r="R99" s="8"/>
      <c r="S99" s="8"/>
      <c r="T99" s="8"/>
    </row>
    <row r="100" spans="1:20" ht="15.75" thickBot="1" x14ac:dyDescent="0.3">
      <c r="A100" s="76" t="s">
        <v>136</v>
      </c>
      <c r="B100" s="52">
        <f>0.3</f>
        <v>0.3</v>
      </c>
      <c r="D100" s="53" t="s">
        <v>135</v>
      </c>
      <c r="E100" s="52">
        <f>0.3</f>
        <v>0.3</v>
      </c>
      <c r="I100" s="72"/>
      <c r="K100" s="8"/>
      <c r="M100" s="8"/>
      <c r="O100" s="8"/>
      <c r="P100" s="8"/>
      <c r="Q100" s="8"/>
      <c r="R100" s="8"/>
      <c r="S100" s="8"/>
      <c r="T100" s="8"/>
    </row>
    <row r="101" spans="1:20" ht="15.75" thickBot="1" x14ac:dyDescent="0.3">
      <c r="A101" s="76" t="s">
        <v>133</v>
      </c>
      <c r="B101" s="52">
        <f>0.02*SQRT($B$99/$B$100)</f>
        <v>0.42996751374958558</v>
      </c>
      <c r="D101" s="81" t="s">
        <v>134</v>
      </c>
      <c r="E101" s="52">
        <f>0.02*SQRT($E$99/$E$100)</f>
        <v>0.33069989053521021</v>
      </c>
      <c r="I101" s="72"/>
      <c r="K101" s="8"/>
      <c r="M101" s="8"/>
      <c r="O101" s="8"/>
      <c r="P101" s="8"/>
      <c r="Q101" s="8"/>
      <c r="R101" s="8"/>
      <c r="S101" s="8"/>
      <c r="T101" s="8"/>
    </row>
    <row r="102" spans="1:20" ht="15.75" thickBot="1" x14ac:dyDescent="0.3">
      <c r="A102" s="274" t="s">
        <v>132</v>
      </c>
      <c r="B102" s="275"/>
      <c r="D102" s="274" t="s">
        <v>204</v>
      </c>
      <c r="E102" s="275"/>
      <c r="I102" s="72"/>
      <c r="K102" s="8"/>
      <c r="M102" s="8"/>
      <c r="O102" s="8"/>
      <c r="P102" s="8"/>
      <c r="Q102" s="8"/>
      <c r="R102" s="8"/>
      <c r="S102" s="8"/>
      <c r="T102" s="8"/>
    </row>
    <row r="103" spans="1:20" x14ac:dyDescent="0.25">
      <c r="A103" s="25" t="s">
        <v>37</v>
      </c>
      <c r="B103" s="26">
        <v>0.5</v>
      </c>
      <c r="D103" s="25" t="s">
        <v>37</v>
      </c>
      <c r="E103" s="26">
        <v>0.6</v>
      </c>
      <c r="I103" s="72"/>
      <c r="K103" s="8"/>
      <c r="M103" s="8"/>
      <c r="O103" s="8"/>
      <c r="P103" s="8"/>
      <c r="Q103" s="8"/>
      <c r="R103" s="8"/>
      <c r="S103" s="8"/>
      <c r="T103" s="8"/>
    </row>
    <row r="104" spans="1:20" x14ac:dyDescent="0.25">
      <c r="A104" s="15" t="s">
        <v>35</v>
      </c>
      <c r="B104" s="17">
        <v>0.3</v>
      </c>
      <c r="D104" s="15" t="s">
        <v>35</v>
      </c>
      <c r="E104" s="17">
        <v>0.3</v>
      </c>
      <c r="I104" s="72"/>
      <c r="K104" s="8"/>
      <c r="M104" s="8"/>
      <c r="O104" s="8"/>
      <c r="P104" s="8"/>
      <c r="Q104" s="8"/>
      <c r="R104" s="8"/>
      <c r="S104" s="8"/>
      <c r="T104" s="8"/>
    </row>
    <row r="105" spans="1:20" x14ac:dyDescent="0.25">
      <c r="A105" s="15" t="s">
        <v>21</v>
      </c>
      <c r="B105" s="17">
        <v>25</v>
      </c>
      <c r="D105" s="15" t="s">
        <v>21</v>
      </c>
      <c r="E105" s="17">
        <v>25</v>
      </c>
      <c r="I105" s="72"/>
      <c r="K105" s="8"/>
      <c r="M105" s="8"/>
      <c r="O105" s="8"/>
      <c r="P105" s="8"/>
      <c r="Q105" s="8"/>
      <c r="R105" s="8"/>
      <c r="S105" s="8"/>
      <c r="T105" s="8"/>
    </row>
    <row r="106" spans="1:20" x14ac:dyDescent="0.25">
      <c r="A106" s="15" t="s">
        <v>7</v>
      </c>
      <c r="B106" s="17">
        <f>B103*B104*B105</f>
        <v>3.75</v>
      </c>
      <c r="D106" s="15" t="s">
        <v>7</v>
      </c>
      <c r="E106" s="17">
        <f>E103*E104*E105</f>
        <v>4.5</v>
      </c>
      <c r="I106" s="72"/>
      <c r="K106" s="8"/>
      <c r="M106" s="8"/>
      <c r="O106" s="8"/>
      <c r="P106" s="8"/>
      <c r="Q106" s="8"/>
      <c r="R106" s="8"/>
      <c r="S106" s="8"/>
      <c r="T106" s="8"/>
    </row>
    <row r="107" spans="1:20" x14ac:dyDescent="0.25">
      <c r="A107" s="15" t="s">
        <v>94</v>
      </c>
      <c r="B107" s="47">
        <f>G6</f>
        <v>2.9575000000000005</v>
      </c>
      <c r="D107" s="15" t="s">
        <v>94</v>
      </c>
      <c r="E107" s="47">
        <f>G6</f>
        <v>2.9575000000000005</v>
      </c>
      <c r="I107" s="72"/>
      <c r="K107" s="8"/>
      <c r="M107" s="8"/>
      <c r="O107" s="8"/>
      <c r="P107" s="8"/>
      <c r="Q107" s="8"/>
      <c r="R107" s="8"/>
      <c r="S107" s="8"/>
      <c r="T107" s="8"/>
    </row>
    <row r="108" spans="1:20" x14ac:dyDescent="0.25">
      <c r="A108" s="15" t="s">
        <v>95</v>
      </c>
      <c r="B108" s="47">
        <f>B104*1*B107</f>
        <v>0.88725000000000009</v>
      </c>
      <c r="D108" s="15" t="s">
        <v>95</v>
      </c>
      <c r="E108" s="47">
        <f>E104*1*E107</f>
        <v>0.88725000000000009</v>
      </c>
      <c r="I108" s="72"/>
      <c r="K108" s="8"/>
      <c r="M108" s="8"/>
      <c r="O108" s="8"/>
      <c r="P108" s="8"/>
      <c r="Q108" s="8"/>
      <c r="R108" s="8"/>
      <c r="S108" s="8"/>
      <c r="T108" s="8"/>
    </row>
    <row r="109" spans="1:20" ht="15.75" thickBot="1" x14ac:dyDescent="0.3">
      <c r="A109" s="27" t="s">
        <v>96</v>
      </c>
      <c r="B109" s="52">
        <f>B106-B108</f>
        <v>2.8627500000000001</v>
      </c>
      <c r="D109" s="27" t="s">
        <v>96</v>
      </c>
      <c r="E109" s="52">
        <f>E106-E108</f>
        <v>3.6127500000000001</v>
      </c>
      <c r="I109" s="72"/>
      <c r="K109" s="8"/>
      <c r="M109" s="8"/>
      <c r="O109" s="8"/>
      <c r="P109" s="8"/>
      <c r="Q109" s="8"/>
      <c r="R109" s="8"/>
      <c r="S109" s="8"/>
      <c r="T109" s="8"/>
    </row>
    <row r="110" spans="1:20" x14ac:dyDescent="0.25">
      <c r="I110" s="72"/>
      <c r="K110" s="8"/>
      <c r="M110" s="8"/>
      <c r="O110" s="8"/>
      <c r="P110" s="8"/>
      <c r="Q110" s="8"/>
      <c r="R110" s="8"/>
      <c r="S110" s="8"/>
      <c r="T110" s="8"/>
    </row>
    <row r="111" spans="1:20" x14ac:dyDescent="0.25">
      <c r="I111" s="72"/>
      <c r="K111" s="8"/>
      <c r="M111" s="8"/>
      <c r="O111" s="8"/>
      <c r="P111" s="8"/>
      <c r="Q111" s="8"/>
      <c r="R111" s="8"/>
      <c r="S111" s="8"/>
      <c r="T111" s="8"/>
    </row>
    <row r="112" spans="1:20" ht="15.75" thickBot="1" x14ac:dyDescent="0.3">
      <c r="I112" s="8"/>
      <c r="K112" s="8"/>
      <c r="M112" s="8"/>
      <c r="O112" s="8"/>
      <c r="P112" s="8"/>
      <c r="Q112" s="8"/>
      <c r="R112" s="8"/>
      <c r="S112" s="8"/>
      <c r="T112" s="8"/>
    </row>
    <row r="113" spans="1:20" ht="15.75" thickBot="1" x14ac:dyDescent="0.3">
      <c r="A113" s="269" t="s">
        <v>84</v>
      </c>
      <c r="B113" s="270"/>
      <c r="C113" s="270"/>
      <c r="D113" s="270"/>
      <c r="E113" s="271"/>
      <c r="I113" s="8"/>
      <c r="K113" s="8"/>
      <c r="O113" s="8"/>
      <c r="P113" s="8"/>
      <c r="Q113" s="8"/>
      <c r="R113" s="8"/>
      <c r="S113" s="8"/>
      <c r="T113" s="8"/>
    </row>
    <row r="114" spans="1:20" ht="15.75" thickBot="1" x14ac:dyDescent="0.3">
      <c r="I114" s="8"/>
      <c r="K114" s="8"/>
      <c r="O114" s="8"/>
      <c r="P114" s="8"/>
      <c r="Q114" s="8"/>
      <c r="R114" s="8"/>
      <c r="S114" s="8"/>
      <c r="T114" s="8"/>
    </row>
    <row r="115" spans="1:20" ht="15.75" thickBot="1" x14ac:dyDescent="0.3">
      <c r="A115" s="76" t="s">
        <v>85</v>
      </c>
      <c r="B115" s="77">
        <v>6</v>
      </c>
      <c r="I115" s="8"/>
      <c r="K115" s="8"/>
      <c r="O115" s="8"/>
      <c r="P115" s="8"/>
      <c r="Q115" s="8"/>
      <c r="R115" s="8"/>
      <c r="S115" s="8"/>
      <c r="T115" s="8"/>
    </row>
    <row r="116" spans="1:20" ht="15.75" thickBot="1" x14ac:dyDescent="0.3">
      <c r="A116" s="78" t="s">
        <v>86</v>
      </c>
      <c r="B116" s="28">
        <v>0.02</v>
      </c>
      <c r="I116" s="8"/>
      <c r="K116" s="8"/>
      <c r="O116" s="8"/>
      <c r="P116" s="8"/>
      <c r="Q116" s="8"/>
      <c r="R116" s="8"/>
      <c r="S116" s="8"/>
      <c r="T116" s="8"/>
    </row>
    <row r="117" spans="1:20" ht="15.75" thickBot="1" x14ac:dyDescent="0.3">
      <c r="G117" s="8"/>
      <c r="I117" s="8"/>
      <c r="O117" s="8"/>
      <c r="P117" s="8"/>
      <c r="Q117" s="8"/>
      <c r="R117" s="8"/>
      <c r="S117" s="8"/>
      <c r="T117" s="8"/>
    </row>
    <row r="118" spans="1:20" ht="15.75" thickBot="1" x14ac:dyDescent="0.3">
      <c r="A118" s="272" t="s">
        <v>87</v>
      </c>
      <c r="B118" s="273"/>
      <c r="D118" s="272" t="s">
        <v>88</v>
      </c>
      <c r="E118" s="273"/>
      <c r="G118" s="8"/>
      <c r="O118" s="8"/>
      <c r="P118" s="8"/>
      <c r="Q118" s="8"/>
      <c r="R118" s="8"/>
      <c r="S118" s="8"/>
      <c r="T118" s="8"/>
    </row>
    <row r="119" spans="1:20" ht="15.75" thickBot="1" x14ac:dyDescent="0.3">
      <c r="A119" s="32" t="s">
        <v>89</v>
      </c>
      <c r="B119" s="79">
        <f>I71</f>
        <v>64.887189600000013</v>
      </c>
      <c r="D119" s="53" t="s">
        <v>90</v>
      </c>
      <c r="E119" s="80">
        <f>M71</f>
        <v>38.899992000000005</v>
      </c>
      <c r="G119" s="8"/>
      <c r="O119" s="8"/>
      <c r="P119" s="8"/>
      <c r="Q119" s="8"/>
      <c r="R119" s="8"/>
      <c r="S119" s="8"/>
      <c r="T119" s="8"/>
    </row>
    <row r="120" spans="1:20" ht="15.75" thickBot="1" x14ac:dyDescent="0.3">
      <c r="A120" s="53" t="s">
        <v>91</v>
      </c>
      <c r="B120" s="52">
        <f>(B119*$B$115^2)/10</f>
        <v>233.59388256000005</v>
      </c>
      <c r="D120" s="76" t="s">
        <v>92</v>
      </c>
      <c r="E120" s="52">
        <f>(E119*B115^2)/10</f>
        <v>140.03997120000002</v>
      </c>
      <c r="G120" s="8"/>
    </row>
    <row r="121" spans="1:20" ht="15.75" thickBot="1" x14ac:dyDescent="0.3">
      <c r="A121" s="76" t="s">
        <v>136</v>
      </c>
      <c r="B121" s="52">
        <f>0.3</f>
        <v>0.3</v>
      </c>
      <c r="D121" s="53" t="s">
        <v>135</v>
      </c>
      <c r="E121" s="52">
        <f>0.3</f>
        <v>0.3</v>
      </c>
      <c r="G121" s="8"/>
    </row>
    <row r="122" spans="1:20" ht="15.75" thickBot="1" x14ac:dyDescent="0.3">
      <c r="A122" s="76" t="s">
        <v>133</v>
      </c>
      <c r="B122" s="52">
        <f>0.02*SQRT($B$120/$B$121)</f>
        <v>0.55808468002624845</v>
      </c>
      <c r="D122" s="81" t="s">
        <v>134</v>
      </c>
      <c r="E122" s="52">
        <f>0.02*SQRT($E$120/$E$121)</f>
        <v>0.4321110523927848</v>
      </c>
      <c r="G122" s="8"/>
    </row>
    <row r="123" spans="1:20" ht="15.75" thickBot="1" x14ac:dyDescent="0.3">
      <c r="A123" s="274" t="s">
        <v>93</v>
      </c>
      <c r="B123" s="275"/>
      <c r="D123" s="274" t="s">
        <v>132</v>
      </c>
      <c r="E123" s="275"/>
      <c r="G123" s="8"/>
    </row>
    <row r="124" spans="1:20" x14ac:dyDescent="0.25">
      <c r="A124" s="25" t="s">
        <v>37</v>
      </c>
      <c r="B124" s="26">
        <v>0.5</v>
      </c>
      <c r="D124" s="25" t="s">
        <v>37</v>
      </c>
      <c r="E124" s="26">
        <v>0.6</v>
      </c>
      <c r="G124" s="8"/>
    </row>
    <row r="125" spans="1:20" x14ac:dyDescent="0.25">
      <c r="A125" s="15" t="s">
        <v>35</v>
      </c>
      <c r="B125" s="17">
        <v>0.3</v>
      </c>
      <c r="D125" s="15" t="s">
        <v>35</v>
      </c>
      <c r="E125" s="17">
        <v>0.3</v>
      </c>
    </row>
    <row r="126" spans="1:20" x14ac:dyDescent="0.25">
      <c r="A126" s="15" t="s">
        <v>21</v>
      </c>
      <c r="B126" s="17">
        <v>25</v>
      </c>
      <c r="D126" s="15" t="s">
        <v>21</v>
      </c>
      <c r="E126" s="17">
        <v>25</v>
      </c>
    </row>
    <row r="127" spans="1:20" x14ac:dyDescent="0.25">
      <c r="A127" s="15" t="s">
        <v>7</v>
      </c>
      <c r="B127" s="17">
        <f>B124*B125*B126</f>
        <v>3.75</v>
      </c>
      <c r="D127" s="15" t="s">
        <v>7</v>
      </c>
      <c r="E127" s="17">
        <f>E124*E125*E126</f>
        <v>4.5</v>
      </c>
    </row>
    <row r="128" spans="1:20" x14ac:dyDescent="0.25">
      <c r="A128" s="15" t="s">
        <v>94</v>
      </c>
      <c r="B128" s="47">
        <f>G6</f>
        <v>2.9575000000000005</v>
      </c>
      <c r="D128" s="15" t="s">
        <v>94</v>
      </c>
      <c r="E128" s="47">
        <f>G6</f>
        <v>2.9575000000000005</v>
      </c>
    </row>
    <row r="129" spans="1:5" x14ac:dyDescent="0.25">
      <c r="A129" s="15" t="s">
        <v>95</v>
      </c>
      <c r="B129" s="47">
        <f>B125*1*B128</f>
        <v>0.88725000000000009</v>
      </c>
      <c r="D129" s="15" t="s">
        <v>95</v>
      </c>
      <c r="E129" s="47">
        <f>E125*1*E128</f>
        <v>0.88725000000000009</v>
      </c>
    </row>
    <row r="130" spans="1:5" ht="15.75" thickBot="1" x14ac:dyDescent="0.3">
      <c r="A130" s="27" t="s">
        <v>96</v>
      </c>
      <c r="B130" s="52">
        <f>B127-B129</f>
        <v>2.8627500000000001</v>
      </c>
      <c r="D130" s="27" t="s">
        <v>96</v>
      </c>
      <c r="E130" s="52">
        <f>E127-E129</f>
        <v>3.6127500000000001</v>
      </c>
    </row>
    <row r="132" spans="1:5" ht="15.75" thickBot="1" x14ac:dyDescent="0.3"/>
    <row r="133" spans="1:5" ht="15.75" thickBot="1" x14ac:dyDescent="0.3">
      <c r="A133" s="260" t="s">
        <v>97</v>
      </c>
      <c r="B133" s="261"/>
      <c r="C133" s="261"/>
      <c r="D133" s="261"/>
      <c r="E133" s="262"/>
    </row>
    <row r="134" spans="1:5" x14ac:dyDescent="0.25">
      <c r="A134" s="69" t="s">
        <v>98</v>
      </c>
      <c r="B134" s="82">
        <v>5.2</v>
      </c>
      <c r="D134" s="16" t="s">
        <v>99</v>
      </c>
      <c r="E134" s="42">
        <v>0.04</v>
      </c>
    </row>
    <row r="135" spans="1:5" ht="15.75" thickBot="1" x14ac:dyDescent="0.3">
      <c r="A135" s="12" t="s">
        <v>86</v>
      </c>
      <c r="B135" s="83">
        <v>0.02</v>
      </c>
    </row>
    <row r="136" spans="1:5" ht="15.75" thickBot="1" x14ac:dyDescent="0.3"/>
    <row r="137" spans="1:5" x14ac:dyDescent="0.25">
      <c r="A137" s="263" t="s">
        <v>87</v>
      </c>
      <c r="B137" s="264"/>
      <c r="D137" s="263" t="s">
        <v>88</v>
      </c>
      <c r="E137" s="264"/>
    </row>
    <row r="138" spans="1:5" x14ac:dyDescent="0.25">
      <c r="A138" s="5" t="s">
        <v>89</v>
      </c>
      <c r="B138" s="84">
        <f>I78</f>
        <v>15.139591000000001</v>
      </c>
      <c r="D138" s="5" t="s">
        <v>90</v>
      </c>
      <c r="E138" s="84">
        <f>M78</f>
        <v>9.3750700000000009</v>
      </c>
    </row>
    <row r="139" spans="1:5" x14ac:dyDescent="0.25">
      <c r="A139" s="5" t="s">
        <v>91</v>
      </c>
      <c r="B139" s="84">
        <f>(B138*$B$134^2)/10</f>
        <v>40.937454064000008</v>
      </c>
      <c r="D139" s="5" t="s">
        <v>92</v>
      </c>
      <c r="E139" s="84">
        <f>(E138*$B$134^2)/10</f>
        <v>25.350189280000002</v>
      </c>
    </row>
    <row r="140" spans="1:5" x14ac:dyDescent="0.25">
      <c r="A140" s="5" t="s">
        <v>100</v>
      </c>
      <c r="B140" s="6">
        <v>0.22</v>
      </c>
      <c r="D140" s="5" t="s">
        <v>100</v>
      </c>
      <c r="E140" s="84">
        <v>0.22</v>
      </c>
    </row>
    <row r="141" spans="1:5" ht="15.75" thickBot="1" x14ac:dyDescent="0.3">
      <c r="A141" s="64" t="s">
        <v>101</v>
      </c>
      <c r="B141" s="65">
        <f>($B$135^2*$B$139)/($B$140-$E$134)^2</f>
        <v>0.50540066745679024</v>
      </c>
      <c r="D141" s="5" t="s">
        <v>102</v>
      </c>
      <c r="E141" s="84">
        <f>($B$135^2*$E$139)/(E140-E134)^2</f>
        <v>0.31296529975308646</v>
      </c>
    </row>
    <row r="142" spans="1:5" ht="15.75" thickBot="1" x14ac:dyDescent="0.3">
      <c r="A142" s="265" t="s">
        <v>274</v>
      </c>
      <c r="B142" s="266"/>
      <c r="D142" s="267" t="s">
        <v>103</v>
      </c>
      <c r="E142" s="268"/>
    </row>
    <row r="143" spans="1:5" x14ac:dyDescent="0.25">
      <c r="A143" s="5" t="s">
        <v>37</v>
      </c>
      <c r="B143" s="84">
        <v>0.5</v>
      </c>
      <c r="D143" s="85" t="s">
        <v>37</v>
      </c>
      <c r="E143" s="86">
        <v>0.4</v>
      </c>
    </row>
    <row r="144" spans="1:5" x14ac:dyDescent="0.25">
      <c r="A144" s="5" t="s">
        <v>35</v>
      </c>
      <c r="B144" s="84">
        <v>0.22</v>
      </c>
      <c r="D144" s="87" t="s">
        <v>35</v>
      </c>
      <c r="E144" s="88">
        <v>0.22</v>
      </c>
    </row>
    <row r="145" spans="1:14" x14ac:dyDescent="0.25">
      <c r="A145" s="5" t="s">
        <v>21</v>
      </c>
      <c r="B145" s="84">
        <v>25</v>
      </c>
      <c r="D145" s="87" t="s">
        <v>21</v>
      </c>
      <c r="E145" s="88">
        <v>25</v>
      </c>
    </row>
    <row r="146" spans="1:14" x14ac:dyDescent="0.25">
      <c r="A146" s="5" t="s">
        <v>7</v>
      </c>
      <c r="B146" s="84">
        <f>B143*B144*B145</f>
        <v>2.75</v>
      </c>
      <c r="D146" s="87" t="s">
        <v>7</v>
      </c>
      <c r="E146" s="88">
        <f>E143*E144*E145</f>
        <v>2.2000000000000002</v>
      </c>
    </row>
    <row r="147" spans="1:14" x14ac:dyDescent="0.25">
      <c r="A147" s="5" t="s">
        <v>94</v>
      </c>
      <c r="B147" s="84">
        <f>G6</f>
        <v>2.9575000000000005</v>
      </c>
      <c r="D147" s="87" t="s">
        <v>94</v>
      </c>
      <c r="E147" s="88">
        <f>G6</f>
        <v>2.9575000000000005</v>
      </c>
    </row>
    <row r="148" spans="1:14" x14ac:dyDescent="0.25">
      <c r="A148" s="5" t="s">
        <v>95</v>
      </c>
      <c r="B148" s="84">
        <f>B144*1*B147</f>
        <v>0.65065000000000006</v>
      </c>
      <c r="D148" s="87" t="s">
        <v>95</v>
      </c>
      <c r="E148" s="88">
        <f>E144*1*E147</f>
        <v>0.65065000000000006</v>
      </c>
    </row>
    <row r="149" spans="1:14" ht="15.75" thickBot="1" x14ac:dyDescent="0.3">
      <c r="A149" s="29" t="s">
        <v>96</v>
      </c>
      <c r="B149" s="31">
        <f>B146-B148</f>
        <v>2.0993499999999998</v>
      </c>
      <c r="D149" s="89" t="s">
        <v>96</v>
      </c>
      <c r="E149" s="90">
        <f>E146-E148</f>
        <v>1.54935</v>
      </c>
    </row>
    <row r="150" spans="1:14" ht="15.75" thickBot="1" x14ac:dyDescent="0.3"/>
    <row r="151" spans="1:14" ht="15.75" thickBot="1" x14ac:dyDescent="0.3">
      <c r="A151" s="251" t="s">
        <v>104</v>
      </c>
      <c r="B151" s="252"/>
      <c r="C151" s="252"/>
      <c r="D151" s="253"/>
      <c r="F151" s="251" t="s">
        <v>105</v>
      </c>
      <c r="G151" s="252"/>
      <c r="H151" s="252"/>
      <c r="I151" s="253"/>
      <c r="K151" s="251" t="s">
        <v>137</v>
      </c>
      <c r="L151" s="252"/>
      <c r="M151" s="252"/>
      <c r="N151" s="253"/>
    </row>
    <row r="152" spans="1:14" x14ac:dyDescent="0.25">
      <c r="A152" s="53"/>
      <c r="B152" s="54" t="s">
        <v>106</v>
      </c>
      <c r="C152" s="54" t="s">
        <v>107</v>
      </c>
      <c r="D152" s="55" t="s">
        <v>108</v>
      </c>
      <c r="F152" s="53"/>
      <c r="G152" s="54" t="s">
        <v>106</v>
      </c>
      <c r="H152" s="54" t="s">
        <v>107</v>
      </c>
      <c r="I152" s="55" t="s">
        <v>108</v>
      </c>
      <c r="K152" s="53"/>
      <c r="L152" s="54" t="s">
        <v>106</v>
      </c>
      <c r="M152" s="54" t="s">
        <v>107</v>
      </c>
      <c r="N152" s="55" t="s">
        <v>108</v>
      </c>
    </row>
    <row r="153" spans="1:14" x14ac:dyDescent="0.25">
      <c r="A153" s="15" t="s">
        <v>51</v>
      </c>
      <c r="B153" s="16">
        <f>(B154+B155)*(B156+B157)</f>
        <v>38.9358</v>
      </c>
      <c r="C153" s="42">
        <f>H50*B161</f>
        <v>332.590771674</v>
      </c>
      <c r="D153" s="47">
        <f>J50*B161</f>
        <v>236.07164898000002</v>
      </c>
      <c r="F153" s="15" t="s">
        <v>51</v>
      </c>
      <c r="G153" s="16">
        <f>G154*G155</f>
        <v>9.6408000000000005</v>
      </c>
      <c r="H153" s="42">
        <f>G153*H50</f>
        <v>82.35200282400001</v>
      </c>
      <c r="I153" s="47">
        <f>G153*J50</f>
        <v>58.45313448000001</v>
      </c>
      <c r="K153" s="15" t="s">
        <v>51</v>
      </c>
      <c r="L153" s="16">
        <f>(L156+L154)*L155</f>
        <v>14.986500000000001</v>
      </c>
      <c r="M153" s="42">
        <f>(H50+H51)*L153</f>
        <v>243.81881539500003</v>
      </c>
      <c r="N153" s="47">
        <f>(J50+J51)*L153</f>
        <v>179.94440415000003</v>
      </c>
    </row>
    <row r="154" spans="1:14" x14ac:dyDescent="0.25">
      <c r="A154" s="15" t="s">
        <v>109</v>
      </c>
      <c r="B154" s="16">
        <f>B81*B162/2</f>
        <v>2.7</v>
      </c>
      <c r="C154" s="42">
        <f>$H$54*B154</f>
        <v>12.680752500000001</v>
      </c>
      <c r="D154" s="17">
        <f>$J$54*B154</f>
        <v>9.7544250000000012</v>
      </c>
      <c r="F154" s="15" t="s">
        <v>110</v>
      </c>
      <c r="G154" s="16">
        <f>(E81*G163)/2</f>
        <v>3.12</v>
      </c>
      <c r="H154" s="42">
        <f>G154*$H$54</f>
        <v>14.653314000000002</v>
      </c>
      <c r="I154" s="17">
        <f>G154*$J$54</f>
        <v>11.271780000000001</v>
      </c>
      <c r="K154" s="15" t="s">
        <v>110</v>
      </c>
      <c r="L154" s="16">
        <f>(5.2*L163)/2</f>
        <v>3.12</v>
      </c>
      <c r="M154" s="42">
        <f>$H$53*L154</f>
        <v>14.653314000000002</v>
      </c>
      <c r="N154" s="47">
        <f>$J$53</f>
        <v>3.6127500000000001</v>
      </c>
    </row>
    <row r="155" spans="1:14" x14ac:dyDescent="0.25">
      <c r="A155" s="15" t="s">
        <v>111</v>
      </c>
      <c r="B155" s="16">
        <f>B82*B163/2</f>
        <v>3.12</v>
      </c>
      <c r="C155" s="42">
        <f>$H$55*B155</f>
        <v>8.5149635999999997</v>
      </c>
      <c r="D155" s="17">
        <f>$J$55*B155</f>
        <v>6.5499719999999995</v>
      </c>
      <c r="F155" s="15" t="s">
        <v>112</v>
      </c>
      <c r="G155" s="16">
        <f>(E82*G163)/2</f>
        <v>3.0900000000000003</v>
      </c>
      <c r="H155" s="42">
        <f>G155*$H$54</f>
        <v>14.512416750000002</v>
      </c>
      <c r="I155" s="17">
        <f>G155*$J$54</f>
        <v>11.163397500000002</v>
      </c>
      <c r="K155" s="15" t="s">
        <v>138</v>
      </c>
      <c r="L155" s="16">
        <f>(5.15*L162)/2</f>
        <v>2.5750000000000002</v>
      </c>
      <c r="M155" s="42">
        <f>$H$53*L155</f>
        <v>12.093680625000001</v>
      </c>
      <c r="N155" s="47">
        <f>$J$53</f>
        <v>3.6127500000000001</v>
      </c>
    </row>
    <row r="156" spans="1:14" x14ac:dyDescent="0.25">
      <c r="A156" s="15" t="s">
        <v>113</v>
      </c>
      <c r="B156" s="16">
        <f>B83*B163/2</f>
        <v>3.5999999999999996</v>
      </c>
      <c r="C156" s="42">
        <f>$H$54*B156</f>
        <v>16.90767</v>
      </c>
      <c r="D156" s="17">
        <f>$J$54*B156</f>
        <v>13.005899999999999</v>
      </c>
      <c r="F156" s="15"/>
      <c r="G156" s="16"/>
      <c r="H156" s="42"/>
      <c r="I156" s="17"/>
      <c r="K156" s="15" t="s">
        <v>139</v>
      </c>
      <c r="L156" s="16">
        <f>(5.4*L162)/2</f>
        <v>2.7</v>
      </c>
      <c r="M156" s="42">
        <f>$H$53*L156</f>
        <v>12.680752500000001</v>
      </c>
      <c r="N156" s="47">
        <f>$J$53</f>
        <v>3.6127500000000001</v>
      </c>
    </row>
    <row r="157" spans="1:14" ht="15.75" thickBot="1" x14ac:dyDescent="0.3">
      <c r="A157" s="66" t="s">
        <v>114</v>
      </c>
      <c r="B157" s="59">
        <f>B84*B163/2</f>
        <v>3.0900000000000003</v>
      </c>
      <c r="C157" s="67">
        <f>$H$54*B157</f>
        <v>14.512416750000002</v>
      </c>
      <c r="D157" s="68">
        <f>$J$54*B157</f>
        <v>11.163397500000002</v>
      </c>
      <c r="F157" s="66"/>
      <c r="G157" s="59"/>
      <c r="H157" s="67"/>
      <c r="I157" s="68"/>
      <c r="K157" s="66"/>
      <c r="L157" s="59"/>
      <c r="M157" s="67"/>
      <c r="N157" s="68"/>
    </row>
    <row r="158" spans="1:14" x14ac:dyDescent="0.25">
      <c r="A158" s="91" t="s">
        <v>96</v>
      </c>
      <c r="B158" s="92"/>
      <c r="C158" s="93">
        <f>SUM(C153:C157)</f>
        <v>385.20657452399996</v>
      </c>
      <c r="D158" s="94">
        <f>SUM(D153:D157)</f>
        <v>276.54534348000004</v>
      </c>
      <c r="F158" s="91" t="s">
        <v>96</v>
      </c>
      <c r="G158" s="92"/>
      <c r="H158" s="93">
        <f>SUM(H153:H156)</f>
        <v>111.517733574</v>
      </c>
      <c r="I158" s="94">
        <f>SUM(I153:I155)</f>
        <v>80.888311980000012</v>
      </c>
      <c r="K158" s="91" t="s">
        <v>96</v>
      </c>
      <c r="L158" s="92">
        <f>SUM(L153:L156)</f>
        <v>23.381499999999999</v>
      </c>
      <c r="M158" s="92">
        <f>SUM(M153:M156)</f>
        <v>283.24656252</v>
      </c>
      <c r="N158" s="92">
        <f>SUM(N153:N156)</f>
        <v>190.78265415000004</v>
      </c>
    </row>
    <row r="159" spans="1:14" ht="15.75" thickBot="1" x14ac:dyDescent="0.3">
      <c r="A159" s="95" t="s">
        <v>115</v>
      </c>
      <c r="B159" s="238"/>
      <c r="C159" s="96">
        <f>C158+$H$56</f>
        <v>405.09371452399995</v>
      </c>
      <c r="D159" s="63">
        <f>D158+$J$56</f>
        <v>291.84314348000004</v>
      </c>
      <c r="F159" s="95" t="s">
        <v>116</v>
      </c>
      <c r="G159" s="238"/>
      <c r="H159" s="96">
        <f>H158+$H$56</f>
        <v>131.40487357399999</v>
      </c>
      <c r="I159" s="63">
        <f>I158+$J$56</f>
        <v>96.186111980000007</v>
      </c>
      <c r="K159" s="95" t="s">
        <v>116</v>
      </c>
      <c r="L159" s="238"/>
      <c r="M159" s="96">
        <f>M158+H56</f>
        <v>303.13370251999999</v>
      </c>
      <c r="N159" s="63">
        <f>N158+J56</f>
        <v>206.08045415000004</v>
      </c>
    </row>
    <row r="160" spans="1:14" ht="15.75" thickBot="1" x14ac:dyDescent="0.3"/>
    <row r="161" spans="1:12" ht="15.75" thickBot="1" x14ac:dyDescent="0.3">
      <c r="A161" s="2" t="s">
        <v>117</v>
      </c>
      <c r="B161" s="97">
        <f>B153</f>
        <v>38.9358</v>
      </c>
      <c r="F161" s="2" t="s">
        <v>117</v>
      </c>
      <c r="G161" s="97">
        <f>G154*G155</f>
        <v>9.6408000000000005</v>
      </c>
      <c r="K161" s="2" t="s">
        <v>117</v>
      </c>
      <c r="L161" s="97">
        <f>L153</f>
        <v>14.986500000000001</v>
      </c>
    </row>
    <row r="162" spans="1:12" x14ac:dyDescent="0.25">
      <c r="A162" s="15" t="s">
        <v>81</v>
      </c>
      <c r="B162" s="17">
        <v>1</v>
      </c>
      <c r="F162" s="15" t="s">
        <v>81</v>
      </c>
      <c r="G162" s="17">
        <v>1</v>
      </c>
      <c r="K162" s="15" t="s">
        <v>81</v>
      </c>
      <c r="L162" s="17">
        <v>1</v>
      </c>
    </row>
    <row r="163" spans="1:12" ht="15.75" thickBot="1" x14ac:dyDescent="0.3">
      <c r="A163" s="27" t="s">
        <v>118</v>
      </c>
      <c r="B163" s="28">
        <v>1.2</v>
      </c>
      <c r="F163" s="27" t="s">
        <v>118</v>
      </c>
      <c r="G163" s="28">
        <v>1.2</v>
      </c>
      <c r="K163" s="27" t="s">
        <v>118</v>
      </c>
      <c r="L163" s="28">
        <v>1.2</v>
      </c>
    </row>
    <row r="164" spans="1:12" ht="15.75" thickBot="1" x14ac:dyDescent="0.3"/>
    <row r="165" spans="1:12" ht="15.75" thickBot="1" x14ac:dyDescent="0.3">
      <c r="A165" s="251" t="s">
        <v>119</v>
      </c>
      <c r="B165" s="252"/>
      <c r="C165" s="253"/>
    </row>
    <row r="166" spans="1:12" ht="15.75" thickBot="1" x14ac:dyDescent="0.3">
      <c r="A166" s="2" t="s">
        <v>120</v>
      </c>
      <c r="B166" s="3" t="s">
        <v>121</v>
      </c>
      <c r="C166" s="97" t="s">
        <v>122</v>
      </c>
    </row>
    <row r="167" spans="1:12" x14ac:dyDescent="0.25">
      <c r="A167" s="98" t="s">
        <v>123</v>
      </c>
      <c r="B167" s="60">
        <f>D158</f>
        <v>276.54534348000004</v>
      </c>
      <c r="C167" s="61">
        <f>I158</f>
        <v>80.888311980000012</v>
      </c>
    </row>
    <row r="168" spans="1:12" x14ac:dyDescent="0.25">
      <c r="A168" s="15">
        <v>4</v>
      </c>
      <c r="B168" s="42">
        <f>B167+J56</f>
        <v>291.84314348000004</v>
      </c>
      <c r="C168" s="47">
        <f>I159</f>
        <v>96.186111980000007</v>
      </c>
    </row>
    <row r="169" spans="1:12" x14ac:dyDescent="0.25">
      <c r="A169" s="15">
        <v>3</v>
      </c>
      <c r="B169" s="42">
        <f>B168*2</f>
        <v>583.68628696000007</v>
      </c>
      <c r="C169" s="47">
        <f>C168*2</f>
        <v>192.37222396000001</v>
      </c>
    </row>
    <row r="170" spans="1:12" x14ac:dyDescent="0.25">
      <c r="A170" s="15">
        <v>2</v>
      </c>
      <c r="B170" s="42">
        <f>B168*3</f>
        <v>875.52943044000017</v>
      </c>
      <c r="C170" s="47">
        <f>C168*3</f>
        <v>288.55833594000001</v>
      </c>
      <c r="D170" s="8"/>
      <c r="E170" s="8"/>
    </row>
    <row r="171" spans="1:12" x14ac:dyDescent="0.25">
      <c r="A171" s="15">
        <v>1</v>
      </c>
      <c r="B171" s="42">
        <f>B168*4</f>
        <v>1167.3725739200001</v>
      </c>
      <c r="C171" s="47">
        <f>C168*4</f>
        <v>384.74444792000003</v>
      </c>
      <c r="D171" s="72"/>
      <c r="E171" s="8"/>
    </row>
    <row r="172" spans="1:12" ht="15.75" thickBot="1" x14ac:dyDescent="0.3">
      <c r="A172" s="99" t="s">
        <v>124</v>
      </c>
      <c r="B172" s="36">
        <f>B168*5</f>
        <v>1459.2157174000001</v>
      </c>
      <c r="C172" s="52">
        <f>C168*5</f>
        <v>480.93055990000005</v>
      </c>
    </row>
  </sheetData>
  <mergeCells count="35">
    <mergeCell ref="A1:G1"/>
    <mergeCell ref="I1:J1"/>
    <mergeCell ref="A13:G13"/>
    <mergeCell ref="A23:G23"/>
    <mergeCell ref="A27:G27"/>
    <mergeCell ref="A19:G19"/>
    <mergeCell ref="A35:G35"/>
    <mergeCell ref="A31:G31"/>
    <mergeCell ref="K151:N151"/>
    <mergeCell ref="F151:I151"/>
    <mergeCell ref="A92:E92"/>
    <mergeCell ref="A97:B97"/>
    <mergeCell ref="D97:E97"/>
    <mergeCell ref="A102:B102"/>
    <mergeCell ref="D102:E102"/>
    <mergeCell ref="I35:J35"/>
    <mergeCell ref="A71:H71"/>
    <mergeCell ref="J71:L71"/>
    <mergeCell ref="A78:H78"/>
    <mergeCell ref="J78:L78"/>
    <mergeCell ref="A165:C165"/>
    <mergeCell ref="A64:H64"/>
    <mergeCell ref="J64:L64"/>
    <mergeCell ref="A133:E133"/>
    <mergeCell ref="A137:B137"/>
    <mergeCell ref="D137:E137"/>
    <mergeCell ref="A142:B142"/>
    <mergeCell ref="D142:E142"/>
    <mergeCell ref="A151:D151"/>
    <mergeCell ref="A113:E113"/>
    <mergeCell ref="A118:B118"/>
    <mergeCell ref="D118:E118"/>
    <mergeCell ref="A123:B123"/>
    <mergeCell ref="D123:E123"/>
    <mergeCell ref="A80:B8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opLeftCell="A16" workbookViewId="0">
      <selection activeCell="K43" sqref="K43"/>
    </sheetView>
  </sheetViews>
  <sheetFormatPr defaultRowHeight="15" x14ac:dyDescent="0.25"/>
  <cols>
    <col min="1" max="1" width="23.28515625" customWidth="1"/>
    <col min="2" max="2" width="12.5703125" bestFit="1" customWidth="1"/>
    <col min="4" max="5" width="9.5703125" bestFit="1" customWidth="1"/>
    <col min="6" max="6" width="9.28515625" bestFit="1" customWidth="1"/>
    <col min="13" max="15" width="10.5703125" bestFit="1" customWidth="1"/>
    <col min="16" max="16" width="15" customWidth="1"/>
  </cols>
  <sheetData>
    <row r="1" spans="1:6" x14ac:dyDescent="0.25">
      <c r="A1" s="310" t="s">
        <v>228</v>
      </c>
      <c r="B1" s="310"/>
      <c r="C1" s="310"/>
      <c r="D1" s="310"/>
      <c r="E1" s="310"/>
      <c r="F1" s="310"/>
    </row>
    <row r="4" spans="1:6" x14ac:dyDescent="0.25">
      <c r="A4" s="110" t="s">
        <v>229</v>
      </c>
      <c r="B4" s="110" t="s">
        <v>230</v>
      </c>
      <c r="C4" s="110" t="s">
        <v>231</v>
      </c>
      <c r="D4" s="110" t="s">
        <v>232</v>
      </c>
      <c r="E4" s="110" t="s">
        <v>233</v>
      </c>
      <c r="F4" s="110" t="s">
        <v>234</v>
      </c>
    </row>
    <row r="5" spans="1:6" x14ac:dyDescent="0.25">
      <c r="A5" s="16" t="s">
        <v>123</v>
      </c>
      <c r="B5" s="42">
        <f>'caratteristiche della sollecita'!D26</f>
        <v>351.6403233952185</v>
      </c>
      <c r="C5" s="42">
        <f>'caratteristiche della sollecita'!E26</f>
        <v>351.6403233952185</v>
      </c>
      <c r="D5" s="42">
        <f>rigidezza!E147</f>
        <v>559.04493564493828</v>
      </c>
      <c r="E5" s="42">
        <f t="shared" ref="E5:E10" si="0">C5/D5</f>
        <v>0.62900189407771145</v>
      </c>
      <c r="F5" s="42">
        <f>'[13]confronto spostamenti'!S4</f>
        <v>15.834989999999999</v>
      </c>
    </row>
    <row r="6" spans="1:6" x14ac:dyDescent="0.25">
      <c r="A6" s="16">
        <v>4</v>
      </c>
      <c r="B6" s="42">
        <f>'caratteristiche della sollecita'!D27</f>
        <v>363.04924677975157</v>
      </c>
      <c r="C6" s="42">
        <f>'caratteristiche della sollecita'!E27</f>
        <v>714.68957017497007</v>
      </c>
      <c r="D6" s="42">
        <f>rigidezza!E148</f>
        <v>280.11504548777816</v>
      </c>
      <c r="E6" s="42">
        <f t="shared" si="0"/>
        <v>2.5514144337746867</v>
      </c>
      <c r="F6" s="42">
        <f>'[13]confronto spostamenti'!S5</f>
        <v>15.06629</v>
      </c>
    </row>
    <row r="7" spans="1:6" x14ac:dyDescent="0.25">
      <c r="A7" s="16">
        <v>3</v>
      </c>
      <c r="B7" s="42">
        <f>'caratteristiche della sollecita'!D28</f>
        <v>292.63969588913312</v>
      </c>
      <c r="C7" s="42">
        <f>'caratteristiche della sollecita'!E28</f>
        <v>1007.3292660641032</v>
      </c>
      <c r="D7" s="42">
        <f>rigidezza!E149</f>
        <v>323.56973572373698</v>
      </c>
      <c r="E7" s="42">
        <f t="shared" si="0"/>
        <v>3.1131751670501049</v>
      </c>
      <c r="F7" s="42">
        <f>'[13]confronto spostamenti'!S6</f>
        <v>12.764650000000001</v>
      </c>
    </row>
    <row r="8" spans="1:6" x14ac:dyDescent="0.25">
      <c r="A8" s="16">
        <v>2</v>
      </c>
      <c r="B8" s="42">
        <f>'caratteristiche della sollecita'!D29</f>
        <v>222.23014499851465</v>
      </c>
      <c r="C8" s="42">
        <f>'caratteristiche della sollecita'!E29</f>
        <v>1229.5594110626178</v>
      </c>
      <c r="D8" s="42">
        <f>rigidezza!E150</f>
        <v>371.20913974563905</v>
      </c>
      <c r="E8" s="42">
        <f t="shared" si="0"/>
        <v>3.3123090985990804</v>
      </c>
      <c r="F8" s="42">
        <f>'[13]confronto spostamenti'!S7</f>
        <v>9.8510099999999987</v>
      </c>
    </row>
    <row r="9" spans="1:6" x14ac:dyDescent="0.25">
      <c r="A9" s="16">
        <v>1</v>
      </c>
      <c r="B9" s="42">
        <f>'caratteristiche della sollecita'!D30</f>
        <v>151.82059410789614</v>
      </c>
      <c r="C9" s="42">
        <f>'caratteristiche della sollecita'!E30</f>
        <v>1381.3800051705139</v>
      </c>
      <c r="D9" s="42">
        <f>rigidezza!E151</f>
        <v>371.20913974563905</v>
      </c>
      <c r="E9" s="42">
        <f t="shared" si="0"/>
        <v>3.7212984737311881</v>
      </c>
      <c r="F9" s="42">
        <f>'[13]confronto spostamenti'!S8</f>
        <v>6.6314000000000002</v>
      </c>
    </row>
    <row r="10" spans="1:6" x14ac:dyDescent="0.25">
      <c r="A10" s="16" t="s">
        <v>124</v>
      </c>
      <c r="B10" s="42">
        <f>'caratteristiche della sollecita'!D31</f>
        <v>75.365589396475443</v>
      </c>
      <c r="C10" s="42">
        <f>'caratteristiche della sollecita'!E31</f>
        <v>1456.7455945669892</v>
      </c>
      <c r="D10" s="42">
        <f>rigidezza!E152</f>
        <v>410.23843448952715</v>
      </c>
      <c r="E10" s="42">
        <f t="shared" si="0"/>
        <v>3.5509729759466944</v>
      </c>
      <c r="F10" s="42">
        <f>'[13]confronto spostamenti'!S9</f>
        <v>3.1308200000000004</v>
      </c>
    </row>
    <row r="13" spans="1:6" x14ac:dyDescent="0.25">
      <c r="A13" s="110" t="s">
        <v>229</v>
      </c>
      <c r="B13" s="110" t="s">
        <v>15</v>
      </c>
      <c r="C13" s="110" t="s">
        <v>230</v>
      </c>
      <c r="D13" s="110" t="s">
        <v>234</v>
      </c>
      <c r="E13" s="110" t="s">
        <v>235</v>
      </c>
      <c r="F13" s="110" t="s">
        <v>236</v>
      </c>
    </row>
    <row r="14" spans="1:6" x14ac:dyDescent="0.25">
      <c r="A14" s="198" t="s">
        <v>123</v>
      </c>
      <c r="B14" s="42">
        <f>'caratteristiche della sollecita'!F2</f>
        <v>301.76554536187564</v>
      </c>
      <c r="C14" s="42">
        <f>'caratteristiche della sollecita'!D26</f>
        <v>351.6403233952185</v>
      </c>
      <c r="D14" s="42">
        <f t="shared" ref="D14:D19" si="1">F5</f>
        <v>15.834989999999999</v>
      </c>
      <c r="E14" s="42">
        <f t="shared" ref="E14:E19" si="2">C14*D14</f>
        <v>5568.2210045600505</v>
      </c>
      <c r="F14" s="42">
        <f t="shared" ref="F14:F19" si="3">(B14*D14^2)/1000</f>
        <v>75.666777530983893</v>
      </c>
    </row>
    <row r="15" spans="1:6" x14ac:dyDescent="0.25">
      <c r="A15" s="198">
        <v>4</v>
      </c>
      <c r="B15" s="42">
        <f>'caratteristiche della sollecita'!F3</f>
        <v>362.53822629969414</v>
      </c>
      <c r="C15" s="42">
        <f>'caratteristiche della sollecita'!D27</f>
        <v>363.04924677975157</v>
      </c>
      <c r="D15" s="42">
        <f t="shared" si="1"/>
        <v>15.06629</v>
      </c>
      <c r="E15" s="42">
        <f t="shared" si="2"/>
        <v>5469.8052362653034</v>
      </c>
      <c r="F15" s="42">
        <f t="shared" si="3"/>
        <v>82.293673813039916</v>
      </c>
    </row>
    <row r="16" spans="1:6" x14ac:dyDescent="0.25">
      <c r="A16" s="198">
        <v>3</v>
      </c>
      <c r="B16" s="42">
        <f>'caratteristiche della sollecita'!F4</f>
        <v>362.53822629969414</v>
      </c>
      <c r="C16" s="42">
        <f>'caratteristiche della sollecita'!D28</f>
        <v>292.63969588913312</v>
      </c>
      <c r="D16" s="42">
        <f t="shared" si="1"/>
        <v>12.764650000000001</v>
      </c>
      <c r="E16" s="42">
        <f t="shared" si="2"/>
        <v>3735.4432941312234</v>
      </c>
      <c r="F16" s="42">
        <f t="shared" si="3"/>
        <v>59.070633439594424</v>
      </c>
    </row>
    <row r="17" spans="1:16" x14ac:dyDescent="0.25">
      <c r="A17" s="198">
        <v>2</v>
      </c>
      <c r="B17" s="42">
        <f>'caratteristiche della sollecita'!F5</f>
        <v>362.53822629969414</v>
      </c>
      <c r="C17" s="42">
        <f>'caratteristiche della sollecita'!D29</f>
        <v>222.23014499851465</v>
      </c>
      <c r="D17" s="42">
        <f t="shared" si="1"/>
        <v>9.8510099999999987</v>
      </c>
      <c r="E17" s="42">
        <f t="shared" si="2"/>
        <v>2189.1913806818175</v>
      </c>
      <c r="F17" s="42">
        <f t="shared" si="3"/>
        <v>35.181578854075994</v>
      </c>
    </row>
    <row r="18" spans="1:16" x14ac:dyDescent="0.25">
      <c r="A18" s="198">
        <v>1</v>
      </c>
      <c r="B18" s="42">
        <f>'caratteristiche della sollecita'!F6</f>
        <v>362.53822629969414</v>
      </c>
      <c r="C18" s="42">
        <f>'caratteristiche della sollecita'!D30</f>
        <v>151.82059410789614</v>
      </c>
      <c r="D18" s="42">
        <f t="shared" si="1"/>
        <v>6.6314000000000002</v>
      </c>
      <c r="E18" s="42">
        <f t="shared" si="2"/>
        <v>1006.7830877671025</v>
      </c>
      <c r="F18" s="42">
        <f t="shared" si="3"/>
        <v>15.942787429840976</v>
      </c>
    </row>
    <row r="19" spans="1:16" x14ac:dyDescent="0.25">
      <c r="A19" s="198" t="s">
        <v>124</v>
      </c>
      <c r="B19" s="42">
        <f>'caratteristiche della sollecita'!F7</f>
        <v>335.61671763506627</v>
      </c>
      <c r="C19" s="42">
        <f>'caratteristiche della sollecita'!D31</f>
        <v>75.365589396475443</v>
      </c>
      <c r="D19" s="42">
        <f t="shared" si="1"/>
        <v>3.1308200000000004</v>
      </c>
      <c r="E19" s="42">
        <f t="shared" si="2"/>
        <v>235.95609459427328</v>
      </c>
      <c r="F19" s="42">
        <f t="shared" si="3"/>
        <v>3.2897264344026267</v>
      </c>
      <c r="M19" s="242" t="s">
        <v>267</v>
      </c>
      <c r="N19" s="242" t="s">
        <v>268</v>
      </c>
      <c r="O19" s="180"/>
      <c r="P19" s="242" t="s">
        <v>265</v>
      </c>
    </row>
    <row r="20" spans="1:16" x14ac:dyDescent="0.25">
      <c r="A20" s="199" t="s">
        <v>17</v>
      </c>
      <c r="B20" s="209"/>
      <c r="C20" s="209"/>
      <c r="D20" s="209"/>
      <c r="E20" s="209">
        <f>SUM(E14:E19)</f>
        <v>18205.400097999769</v>
      </c>
      <c r="F20" s="209">
        <f>SUM(F14:F19)</f>
        <v>271.44517750193779</v>
      </c>
      <c r="L20" s="110" t="s">
        <v>155</v>
      </c>
      <c r="M20" s="42">
        <v>0.106</v>
      </c>
      <c r="N20" s="214">
        <v>0.10857263658472729</v>
      </c>
      <c r="O20" s="245">
        <f>M20/N20</f>
        <v>0.97630492667717728</v>
      </c>
      <c r="P20" s="42">
        <f>1-O20</f>
        <v>2.3695073322822724E-2</v>
      </c>
    </row>
    <row r="21" spans="1:16" x14ac:dyDescent="0.25">
      <c r="L21" s="110" t="s">
        <v>156</v>
      </c>
      <c r="M21" s="42">
        <v>7.2999999999999995E-2</v>
      </c>
      <c r="N21" s="214">
        <v>7.499293400941337E-2</v>
      </c>
      <c r="O21" s="245">
        <f>M21/N21</f>
        <v>0.97342504282919218</v>
      </c>
      <c r="P21" s="42">
        <f>1-O21</f>
        <v>2.6574957170807822E-2</v>
      </c>
    </row>
    <row r="23" spans="1:16" x14ac:dyDescent="0.25">
      <c r="A23" s="201" t="s">
        <v>237</v>
      </c>
      <c r="B23" s="202">
        <f>2*PI()*(F20/E20)^0.5</f>
        <v>0.76722159713961102</v>
      </c>
      <c r="C23" s="203" t="s">
        <v>238</v>
      </c>
    </row>
    <row r="26" spans="1:16" x14ac:dyDescent="0.25">
      <c r="A26" s="310" t="s">
        <v>239</v>
      </c>
      <c r="B26" s="310"/>
      <c r="C26" s="310"/>
      <c r="D26" s="310"/>
      <c r="E26" s="310"/>
      <c r="F26" s="310"/>
    </row>
    <row r="29" spans="1:16" x14ac:dyDescent="0.25">
      <c r="A29" s="110" t="s">
        <v>229</v>
      </c>
      <c r="B29" s="110" t="s">
        <v>230</v>
      </c>
      <c r="C29" s="110" t="s">
        <v>231</v>
      </c>
      <c r="D29" s="110" t="s">
        <v>240</v>
      </c>
      <c r="E29" s="110" t="s">
        <v>233</v>
      </c>
      <c r="F29" s="110" t="s">
        <v>234</v>
      </c>
    </row>
    <row r="30" spans="1:16" x14ac:dyDescent="0.25">
      <c r="A30" s="16" t="s">
        <v>123</v>
      </c>
      <c r="B30" s="42">
        <f>'caratteristiche della sollecita'!D26</f>
        <v>351.6403233952185</v>
      </c>
      <c r="C30" s="42">
        <f>'caratteristiche della sollecita'!E26</f>
        <v>351.6403233952185</v>
      </c>
      <c r="D30" s="42">
        <f>rigidezza!F147</f>
        <v>406.9218206380641</v>
      </c>
      <c r="E30" s="42">
        <f t="shared" ref="E30:E35" si="4">C30/D30</f>
        <v>0.86414712989300313</v>
      </c>
      <c r="F30" s="16">
        <f>'[13]confronto spostamenti'!S17</f>
        <v>17.44688</v>
      </c>
    </row>
    <row r="31" spans="1:16" x14ac:dyDescent="0.25">
      <c r="A31" s="16">
        <v>4</v>
      </c>
      <c r="B31" s="42">
        <f>'caratteristiche della sollecita'!D27</f>
        <v>363.04924677975157</v>
      </c>
      <c r="C31" s="42">
        <f>'caratteristiche della sollecita'!E27</f>
        <v>714.68957017497007</v>
      </c>
      <c r="D31" s="42">
        <f>rigidezza!F148</f>
        <v>257.26276095631596</v>
      </c>
      <c r="E31" s="42">
        <f t="shared" si="4"/>
        <v>2.7780529429065974</v>
      </c>
      <c r="F31" s="16">
        <f>'[13]confronto spostamenti'!S18</f>
        <v>16.491399999999999</v>
      </c>
      <c r="M31" s="242" t="s">
        <v>267</v>
      </c>
      <c r="N31" s="242" t="s">
        <v>266</v>
      </c>
      <c r="O31" s="180"/>
      <c r="P31" s="242" t="s">
        <v>265</v>
      </c>
    </row>
    <row r="32" spans="1:16" x14ac:dyDescent="0.25">
      <c r="A32" s="16">
        <v>3</v>
      </c>
      <c r="B32" s="42">
        <f>'caratteristiche della sollecita'!D28</f>
        <v>292.63969588913312</v>
      </c>
      <c r="C32" s="42">
        <f>'caratteristiche della sollecita'!E28</f>
        <v>1007.3292660641032</v>
      </c>
      <c r="D32" s="191">
        <f>rigidezza!F149</f>
        <v>298.37753336301182</v>
      </c>
      <c r="E32" s="42">
        <f t="shared" si="4"/>
        <v>3.3760224997857566</v>
      </c>
      <c r="F32" s="16">
        <f>'[13]confronto spostamenti'!S19</f>
        <v>13.910259999999999</v>
      </c>
      <c r="L32" s="49" t="s">
        <v>155</v>
      </c>
      <c r="M32" s="42">
        <v>0.10195235386614637</v>
      </c>
      <c r="N32">
        <v>0.10450116271280002</v>
      </c>
      <c r="O32" s="42">
        <f>M32/N32</f>
        <v>0.97560975609756106</v>
      </c>
      <c r="P32" s="42">
        <f>1-O32</f>
        <v>2.4390243902438935E-2</v>
      </c>
    </row>
    <row r="33" spans="1:16" x14ac:dyDescent="0.25">
      <c r="A33" s="16">
        <v>2</v>
      </c>
      <c r="B33" s="42">
        <f>'caratteristiche della sollecita'!D29</f>
        <v>222.23014499851465</v>
      </c>
      <c r="C33" s="42">
        <f>'caratteristiche della sollecita'!E29</f>
        <v>1229.5594110626178</v>
      </c>
      <c r="D33" s="191">
        <f>rigidezza!F150</f>
        <v>344.51849631561947</v>
      </c>
      <c r="E33" s="42">
        <f t="shared" si="4"/>
        <v>3.5689213328511591</v>
      </c>
      <c r="F33" s="16">
        <f>'[13]confronto spostamenti'!S20</f>
        <v>10.721969999999999</v>
      </c>
      <c r="L33" s="49" t="s">
        <v>156</v>
      </c>
      <c r="M33" s="42">
        <v>7.042019413079062E-2</v>
      </c>
      <c r="N33">
        <v>7.2180698984060376E-2</v>
      </c>
      <c r="O33" s="42">
        <f>M33/N33</f>
        <v>0.97560975609756106</v>
      </c>
      <c r="P33" s="42">
        <f>1-O33</f>
        <v>2.4390243902438935E-2</v>
      </c>
    </row>
    <row r="34" spans="1:16" x14ac:dyDescent="0.25">
      <c r="A34" s="16">
        <v>1</v>
      </c>
      <c r="B34" s="42">
        <f>'caratteristiche della sollecita'!D30</f>
        <v>151.82059410789614</v>
      </c>
      <c r="C34" s="42">
        <f>'caratteristiche della sollecita'!E30</f>
        <v>1381.3800051705139</v>
      </c>
      <c r="D34" s="191">
        <f>rigidezza!F151</f>
        <v>344.51849631561947</v>
      </c>
      <c r="E34" s="42">
        <f t="shared" si="4"/>
        <v>4.009596059263556</v>
      </c>
      <c r="F34" s="16">
        <f>'[13]confronto spostamenti'!S21</f>
        <v>7.2146499999999998</v>
      </c>
    </row>
    <row r="35" spans="1:16" x14ac:dyDescent="0.25">
      <c r="A35" s="16" t="s">
        <v>124</v>
      </c>
      <c r="B35" s="42">
        <f>'caratteristiche della sollecita'!D31</f>
        <v>75.365589396475443</v>
      </c>
      <c r="C35" s="42">
        <f>'caratteristiche della sollecita'!E31</f>
        <v>1456.7455945669892</v>
      </c>
      <c r="D35" s="191">
        <f>rigidezza!F152</f>
        <v>397.79198616918495</v>
      </c>
      <c r="E35" s="42">
        <f t="shared" si="4"/>
        <v>3.6620787879507977</v>
      </c>
      <c r="F35" s="16">
        <f>'[13]confronto spostamenti'!S22</f>
        <v>3.4244500000000002</v>
      </c>
    </row>
    <row r="38" spans="1:16" x14ac:dyDescent="0.25">
      <c r="A38" s="110" t="s">
        <v>229</v>
      </c>
      <c r="B38" s="110" t="s">
        <v>15</v>
      </c>
      <c r="C38" s="110" t="s">
        <v>230</v>
      </c>
      <c r="D38" s="110" t="s">
        <v>234</v>
      </c>
      <c r="E38" s="110" t="s">
        <v>235</v>
      </c>
      <c r="F38" s="110" t="s">
        <v>236</v>
      </c>
    </row>
    <row r="39" spans="1:16" x14ac:dyDescent="0.25">
      <c r="A39" s="198" t="s">
        <v>123</v>
      </c>
      <c r="B39" s="42">
        <f>'caratteristiche della sollecita'!F2</f>
        <v>301.76554536187564</v>
      </c>
      <c r="C39" s="42">
        <f>'caratteristiche della sollecita'!D26</f>
        <v>351.6403233952185</v>
      </c>
      <c r="D39" s="42">
        <f t="shared" ref="D39:D44" si="5">F30</f>
        <v>17.44688</v>
      </c>
      <c r="E39" s="42">
        <f t="shared" ref="E39:E44" si="6">C39*D39</f>
        <v>6135.0265254375699</v>
      </c>
      <c r="F39" s="42">
        <f t="shared" ref="F39:F44" si="7">(B39*D39^2)/1000</f>
        <v>91.855507267357709</v>
      </c>
    </row>
    <row r="40" spans="1:16" x14ac:dyDescent="0.25">
      <c r="A40" s="198">
        <v>4</v>
      </c>
      <c r="B40" s="42">
        <f>'caratteristiche della sollecita'!F3</f>
        <v>362.53822629969414</v>
      </c>
      <c r="C40" s="42">
        <f>'caratteristiche della sollecita'!D27</f>
        <v>363.04924677975157</v>
      </c>
      <c r="D40" s="42">
        <f t="shared" si="5"/>
        <v>16.491399999999999</v>
      </c>
      <c r="E40" s="42">
        <f t="shared" si="6"/>
        <v>5987.1903483435945</v>
      </c>
      <c r="F40" s="42">
        <f t="shared" si="7"/>
        <v>98.598170574795077</v>
      </c>
    </row>
    <row r="41" spans="1:16" x14ac:dyDescent="0.25">
      <c r="A41" s="198">
        <v>3</v>
      </c>
      <c r="B41" s="42">
        <f>'caratteristiche della sollecita'!F4</f>
        <v>362.53822629969414</v>
      </c>
      <c r="C41" s="42">
        <f>'caratteristiche della sollecita'!D28</f>
        <v>292.63969588913312</v>
      </c>
      <c r="D41" s="42">
        <f t="shared" si="5"/>
        <v>13.910259999999999</v>
      </c>
      <c r="E41" s="42">
        <f t="shared" si="6"/>
        <v>4070.6942561387727</v>
      </c>
      <c r="F41" s="42">
        <f t="shared" si="7"/>
        <v>70.149454920103906</v>
      </c>
    </row>
    <row r="42" spans="1:16" x14ac:dyDescent="0.25">
      <c r="A42" s="198">
        <v>2</v>
      </c>
      <c r="B42" s="42">
        <f>'caratteristiche della sollecita'!F5</f>
        <v>362.53822629969414</v>
      </c>
      <c r="C42" s="42">
        <f>'caratteristiche della sollecita'!D29</f>
        <v>222.23014499851465</v>
      </c>
      <c r="D42" s="42">
        <f t="shared" si="5"/>
        <v>10.721969999999999</v>
      </c>
      <c r="E42" s="42">
        <f t="shared" si="6"/>
        <v>2382.7449477697237</v>
      </c>
      <c r="F42" s="42">
        <f t="shared" si="7"/>
        <v>41.677626766729936</v>
      </c>
    </row>
    <row r="43" spans="1:16" x14ac:dyDescent="0.25">
      <c r="A43" s="198">
        <v>1</v>
      </c>
      <c r="B43" s="42">
        <f>'caratteristiche della sollecita'!F6</f>
        <v>362.53822629969414</v>
      </c>
      <c r="C43" s="42">
        <f>'caratteristiche della sollecita'!D30</f>
        <v>151.82059410789614</v>
      </c>
      <c r="D43" s="42">
        <f t="shared" si="5"/>
        <v>7.2146499999999998</v>
      </c>
      <c r="E43" s="42">
        <f t="shared" si="6"/>
        <v>1095.332449280533</v>
      </c>
      <c r="F43" s="42">
        <f t="shared" si="7"/>
        <v>18.870540524456803</v>
      </c>
    </row>
    <row r="44" spans="1:16" x14ac:dyDescent="0.25">
      <c r="A44" s="198" t="s">
        <v>124</v>
      </c>
      <c r="B44" s="67">
        <f>'caratteristiche della sollecita'!F7</f>
        <v>335.61671763506627</v>
      </c>
      <c r="C44" s="42">
        <f>'caratteristiche della sollecita'!D31</f>
        <v>75.365589396475443</v>
      </c>
      <c r="D44" s="42">
        <f t="shared" si="5"/>
        <v>3.4244500000000002</v>
      </c>
      <c r="E44" s="42">
        <f t="shared" si="6"/>
        <v>258.08569260876033</v>
      </c>
      <c r="F44" s="42">
        <f t="shared" si="7"/>
        <v>3.9357295238482166</v>
      </c>
    </row>
    <row r="45" spans="1:16" x14ac:dyDescent="0.25">
      <c r="A45" s="199" t="s">
        <v>17</v>
      </c>
      <c r="B45" s="199"/>
      <c r="C45" s="199"/>
      <c r="D45" s="199"/>
      <c r="E45" s="200">
        <f>SUM(E39:E44)</f>
        <v>19929.074219578957</v>
      </c>
      <c r="F45" s="200">
        <f>SUM(F39:F44)</f>
        <v>325.08702957729167</v>
      </c>
    </row>
    <row r="47" spans="1:16" x14ac:dyDescent="0.25">
      <c r="A47" s="204" t="s">
        <v>241</v>
      </c>
      <c r="B47" s="205">
        <f>2*PI()*(F45/E45)^0.5</f>
        <v>0.80248352887470331</v>
      </c>
      <c r="C47" s="206" t="s">
        <v>238</v>
      </c>
    </row>
    <row r="48" spans="1:16" ht="15.75" thickBot="1" x14ac:dyDescent="0.3"/>
    <row r="49" spans="1:6" ht="15.75" thickBot="1" x14ac:dyDescent="0.3">
      <c r="A49" s="274" t="s">
        <v>242</v>
      </c>
      <c r="B49" s="295"/>
      <c r="C49" s="295"/>
      <c r="D49" s="275"/>
      <c r="E49" s="1"/>
      <c r="F49" s="1"/>
    </row>
    <row r="50" spans="1:6" x14ac:dyDescent="0.25">
      <c r="A50" s="212" t="s">
        <v>243</v>
      </c>
      <c r="B50" s="213" t="str">
        <f>rigidezza!J146</f>
        <v>pilastri_x</v>
      </c>
      <c r="C50" s="8"/>
      <c r="D50" s="14" t="str">
        <f>rigidezza!K146</f>
        <v>pilastri_y</v>
      </c>
    </row>
    <row r="51" spans="1:6" x14ac:dyDescent="0.25">
      <c r="A51" s="210" t="s">
        <v>123</v>
      </c>
      <c r="B51" s="84">
        <f>rigidezza!J147</f>
        <v>6.5003026458471176</v>
      </c>
      <c r="C51" s="207"/>
      <c r="D51" s="177">
        <f>rigidezza!K147</f>
        <v>8.8789855157846418</v>
      </c>
    </row>
    <row r="52" spans="1:6" x14ac:dyDescent="0.25">
      <c r="A52" s="210">
        <v>5</v>
      </c>
      <c r="B52" s="84">
        <f>rigidezza!J148</f>
        <v>10.237406502704388</v>
      </c>
      <c r="C52" s="8"/>
      <c r="D52" s="177">
        <f>rigidezza!K148</f>
        <v>9.7377763779379798</v>
      </c>
    </row>
    <row r="53" spans="1:6" x14ac:dyDescent="0.25">
      <c r="A53" s="210">
        <v>4</v>
      </c>
      <c r="B53" s="84">
        <f>rigidezza!J149</f>
        <v>10.092419219137645</v>
      </c>
      <c r="C53" s="8"/>
      <c r="D53" s="177">
        <f>rigidezza!K149</f>
        <v>9.6129000680137722</v>
      </c>
    </row>
    <row r="54" spans="1:6" x14ac:dyDescent="0.25">
      <c r="A54" s="210">
        <v>3</v>
      </c>
      <c r="B54" s="84">
        <f>rigidezza!J150</f>
        <v>9.932900820871108</v>
      </c>
      <c r="C54" s="8"/>
      <c r="D54" s="177">
        <f>rigidezza!K150</f>
        <v>9.5016890745627798</v>
      </c>
    </row>
    <row r="55" spans="1:6" x14ac:dyDescent="0.25">
      <c r="A55" s="210">
        <v>2</v>
      </c>
      <c r="B55" s="84">
        <f>rigidezza!J151</f>
        <v>9.932900820871108</v>
      </c>
      <c r="C55" s="8"/>
      <c r="D55" s="177">
        <f>rigidezza!K151</f>
        <v>9.5016890745627798</v>
      </c>
    </row>
    <row r="56" spans="1:6" ht="15.75" thickBot="1" x14ac:dyDescent="0.3">
      <c r="A56" s="211" t="s">
        <v>202</v>
      </c>
      <c r="B56" s="83">
        <f>rigidezza!J152</f>
        <v>10.100530456468983</v>
      </c>
      <c r="C56" s="207"/>
      <c r="D56" s="178">
        <f>rigidezza!K152</f>
        <v>9.9353954002712452</v>
      </c>
    </row>
  </sheetData>
  <mergeCells count="3">
    <mergeCell ref="A1:F1"/>
    <mergeCell ref="A26:F26"/>
    <mergeCell ref="A49:D4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3" sqref="A3"/>
    </sheetView>
  </sheetViews>
  <sheetFormatPr defaultRowHeight="15" x14ac:dyDescent="0.25"/>
  <sheetData>
    <row r="1" spans="1:6" ht="15.75" thickBot="1" x14ac:dyDescent="0.3">
      <c r="A1" s="308" t="s">
        <v>270</v>
      </c>
      <c r="B1" s="311"/>
      <c r="C1" s="309"/>
      <c r="D1" s="308" t="s">
        <v>273</v>
      </c>
      <c r="E1" s="311"/>
      <c r="F1" s="309"/>
    </row>
    <row r="2" spans="1:6" ht="15.75" thickBot="1" x14ac:dyDescent="0.3">
      <c r="A2" s="248" t="s">
        <v>230</v>
      </c>
      <c r="B2" s="249" t="s">
        <v>271</v>
      </c>
      <c r="C2" s="250" t="s">
        <v>272</v>
      </c>
      <c r="D2" s="248" t="s">
        <v>230</v>
      </c>
      <c r="E2" s="249" t="s">
        <v>269</v>
      </c>
      <c r="F2" s="250" t="s">
        <v>272</v>
      </c>
    </row>
    <row r="3" spans="1:6" x14ac:dyDescent="0.25">
      <c r="A3" s="143">
        <f>'caratteristiche della sollecita'!D26</f>
        <v>351.6403233952185</v>
      </c>
      <c r="B3" s="38">
        <f>Bilanciamento!X16</f>
        <v>1.1950000000000001</v>
      </c>
      <c r="C3" s="84">
        <f t="shared" ref="C3:C8" si="0">A3*B3</f>
        <v>420.21018645728611</v>
      </c>
      <c r="D3" s="143">
        <f t="shared" ref="D3:D8" si="1">A3</f>
        <v>351.6403233952185</v>
      </c>
      <c r="E3" s="38">
        <f>Bilanciamento!AA16</f>
        <v>0.96</v>
      </c>
      <c r="F3" s="84">
        <f t="shared" ref="F3:F8" si="2">D3*E3</f>
        <v>337.57471045940974</v>
      </c>
    </row>
    <row r="4" spans="1:6" x14ac:dyDescent="0.25">
      <c r="A4" s="143">
        <f>'caratteristiche della sollecita'!D27</f>
        <v>363.04924677975157</v>
      </c>
      <c r="B4" s="38">
        <f>Bilanciamento!X17</f>
        <v>1.145</v>
      </c>
      <c r="C4" s="84">
        <f t="shared" si="0"/>
        <v>415.69138756281558</v>
      </c>
      <c r="D4" s="143">
        <f t="shared" si="1"/>
        <v>363.04924677975157</v>
      </c>
      <c r="E4" s="38">
        <f>Bilanciamento!AA17</f>
        <v>0.93500000000000005</v>
      </c>
      <c r="F4" s="84">
        <f t="shared" si="2"/>
        <v>339.45104573906775</v>
      </c>
    </row>
    <row r="5" spans="1:6" x14ac:dyDescent="0.25">
      <c r="A5" s="143">
        <f>'caratteristiche della sollecita'!D28</f>
        <v>292.63969588913312</v>
      </c>
      <c r="B5" s="38">
        <f>Bilanciamento!X18</f>
        <v>1.145</v>
      </c>
      <c r="C5" s="84">
        <f t="shared" si="0"/>
        <v>335.07245179305744</v>
      </c>
      <c r="D5" s="143">
        <f t="shared" si="1"/>
        <v>292.63969588913312</v>
      </c>
      <c r="E5" s="38">
        <f>Bilanciamento!AA18</f>
        <v>0.93500000000000005</v>
      </c>
      <c r="F5" s="84">
        <f t="shared" si="2"/>
        <v>273.61811565633951</v>
      </c>
    </row>
    <row r="6" spans="1:6" x14ac:dyDescent="0.25">
      <c r="A6" s="143">
        <f>'caratteristiche della sollecita'!D29</f>
        <v>222.23014499851465</v>
      </c>
      <c r="B6" s="38">
        <f>Bilanciamento!X19</f>
        <v>1.145</v>
      </c>
      <c r="C6" s="84">
        <f t="shared" si="0"/>
        <v>254.45351602329927</v>
      </c>
      <c r="D6" s="143">
        <f t="shared" si="1"/>
        <v>222.23014499851465</v>
      </c>
      <c r="E6" s="38">
        <f>Bilanciamento!AA19</f>
        <v>0.93500000000000005</v>
      </c>
      <c r="F6" s="84">
        <f t="shared" si="2"/>
        <v>207.78518557361122</v>
      </c>
    </row>
    <row r="7" spans="1:6" x14ac:dyDescent="0.25">
      <c r="A7" s="143">
        <f>'caratteristiche della sollecita'!D30</f>
        <v>151.82059410789614</v>
      </c>
      <c r="B7" s="38">
        <f>Bilanciamento!X20</f>
        <v>1.145</v>
      </c>
      <c r="C7" s="84">
        <f t="shared" si="0"/>
        <v>173.83458025354108</v>
      </c>
      <c r="D7" s="143">
        <f t="shared" si="1"/>
        <v>151.82059410789614</v>
      </c>
      <c r="E7" s="38">
        <f>Bilanciamento!AA20</f>
        <v>0.93500000000000005</v>
      </c>
      <c r="F7" s="84">
        <f t="shared" si="2"/>
        <v>141.95225549088289</v>
      </c>
    </row>
    <row r="8" spans="1:6" ht="15.75" thickBot="1" x14ac:dyDescent="0.3">
      <c r="A8" s="247">
        <f>'caratteristiche della sollecita'!D31</f>
        <v>75.365589396475443</v>
      </c>
      <c r="B8" s="144">
        <f>Bilanciamento!X21</f>
        <v>1.145</v>
      </c>
      <c r="C8" s="83">
        <f t="shared" si="0"/>
        <v>86.293599858964384</v>
      </c>
      <c r="D8" s="247">
        <f t="shared" si="1"/>
        <v>75.365589396475443</v>
      </c>
      <c r="E8" s="144">
        <f>Bilanciamento!AA21</f>
        <v>0.84499999999999997</v>
      </c>
      <c r="F8" s="83">
        <f t="shared" si="2"/>
        <v>63.683923040021746</v>
      </c>
    </row>
  </sheetData>
  <mergeCells count="2">
    <mergeCell ref="A1:C1"/>
    <mergeCell ref="D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"/>
  <sheetViews>
    <sheetView topLeftCell="A19" zoomScale="80" zoomScaleNormal="80" workbookViewId="0">
      <selection activeCell="A23" sqref="A23:C23"/>
    </sheetView>
  </sheetViews>
  <sheetFormatPr defaultRowHeight="15" x14ac:dyDescent="0.25"/>
  <cols>
    <col min="1" max="11" width="25.7109375" customWidth="1"/>
    <col min="12" max="12" width="25.28515625" customWidth="1"/>
    <col min="13" max="13" width="6.42578125" customWidth="1"/>
    <col min="14" max="14" width="21.7109375" customWidth="1"/>
    <col min="15" max="15" width="16.140625" customWidth="1"/>
    <col min="16" max="16" width="18.42578125" customWidth="1"/>
  </cols>
  <sheetData>
    <row r="1" spans="1:15" x14ac:dyDescent="0.25">
      <c r="A1" s="109" t="s">
        <v>141</v>
      </c>
      <c r="B1" s="110" t="s">
        <v>142</v>
      </c>
      <c r="C1" s="109" t="s">
        <v>143</v>
      </c>
      <c r="D1" s="109" t="s">
        <v>144</v>
      </c>
      <c r="E1" s="109" t="s">
        <v>145</v>
      </c>
      <c r="F1" s="109" t="s">
        <v>146</v>
      </c>
    </row>
    <row r="2" spans="1:15" x14ac:dyDescent="0.25">
      <c r="A2" s="162" t="s">
        <v>123</v>
      </c>
      <c r="B2" s="16">
        <v>2.7</v>
      </c>
      <c r="C2" s="16">
        <v>370.04</v>
      </c>
      <c r="D2" s="16">
        <v>8</v>
      </c>
      <c r="E2" s="42">
        <f t="shared" ref="E2:E7" si="0">C2*D2</f>
        <v>2960.32</v>
      </c>
      <c r="F2" s="42">
        <f t="shared" ref="F2:F7" si="1">E2/9.81</f>
        <v>301.76554536187564</v>
      </c>
    </row>
    <row r="3" spans="1:15" x14ac:dyDescent="0.25">
      <c r="A3" s="162">
        <v>5</v>
      </c>
      <c r="B3" s="16">
        <v>3.2</v>
      </c>
      <c r="C3" s="16">
        <v>355.65</v>
      </c>
      <c r="D3" s="16">
        <v>10</v>
      </c>
      <c r="E3" s="42">
        <f t="shared" si="0"/>
        <v>3556.5</v>
      </c>
      <c r="F3" s="42">
        <f t="shared" si="1"/>
        <v>362.53822629969414</v>
      </c>
      <c r="H3" t="s">
        <v>147</v>
      </c>
    </row>
    <row r="4" spans="1:15" x14ac:dyDescent="0.25">
      <c r="A4" s="162">
        <v>4</v>
      </c>
      <c r="B4" s="16">
        <v>3.2</v>
      </c>
      <c r="C4" s="16">
        <v>355.65</v>
      </c>
      <c r="D4" s="16">
        <v>10</v>
      </c>
      <c r="E4" s="42">
        <f t="shared" si="0"/>
        <v>3556.5</v>
      </c>
      <c r="F4" s="42">
        <f t="shared" si="1"/>
        <v>362.53822629969414</v>
      </c>
    </row>
    <row r="5" spans="1:15" x14ac:dyDescent="0.25">
      <c r="A5" s="162">
        <v>3</v>
      </c>
      <c r="B5" s="16">
        <v>3.2</v>
      </c>
      <c r="C5" s="16">
        <v>355.65</v>
      </c>
      <c r="D5" s="16">
        <v>10</v>
      </c>
      <c r="E5" s="42">
        <f t="shared" si="0"/>
        <v>3556.5</v>
      </c>
      <c r="F5" s="42">
        <f t="shared" si="1"/>
        <v>362.53822629969414</v>
      </c>
      <c r="H5" t="s">
        <v>148</v>
      </c>
    </row>
    <row r="6" spans="1:15" x14ac:dyDescent="0.25">
      <c r="A6" s="162">
        <v>2</v>
      </c>
      <c r="B6" s="16">
        <v>3.2</v>
      </c>
      <c r="C6" s="16">
        <v>355.65</v>
      </c>
      <c r="D6" s="16">
        <v>10</v>
      </c>
      <c r="E6" s="42">
        <f>C6*D6</f>
        <v>3556.5</v>
      </c>
      <c r="F6" s="42">
        <f t="shared" si="1"/>
        <v>362.53822629969414</v>
      </c>
    </row>
    <row r="7" spans="1:15" ht="15.75" thickBot="1" x14ac:dyDescent="0.3">
      <c r="A7" s="162" t="s">
        <v>202</v>
      </c>
      <c r="B7" s="59">
        <v>3.7</v>
      </c>
      <c r="C7" s="59">
        <v>329.24</v>
      </c>
      <c r="D7" s="59">
        <v>10</v>
      </c>
      <c r="E7" s="67">
        <f t="shared" si="0"/>
        <v>3292.4</v>
      </c>
      <c r="F7" s="67">
        <f t="shared" si="1"/>
        <v>335.61671763506627</v>
      </c>
    </row>
    <row r="8" spans="1:15" ht="15.75" thickBot="1" x14ac:dyDescent="0.3">
      <c r="A8" s="272" t="s">
        <v>17</v>
      </c>
      <c r="B8" s="282"/>
      <c r="C8" s="282"/>
      <c r="D8" s="273"/>
      <c r="E8" s="111">
        <f>SUM(E2:E7)</f>
        <v>20478.72</v>
      </c>
      <c r="F8" s="112">
        <f>SUM(F2:F6)</f>
        <v>1751.918450560652</v>
      </c>
    </row>
    <row r="10" spans="1:15" ht="15.75" thickBot="1" x14ac:dyDescent="0.3">
      <c r="A10" s="8"/>
      <c r="B10" s="8"/>
    </row>
    <row r="11" spans="1:15" ht="15.75" thickBot="1" x14ac:dyDescent="0.3">
      <c r="A11" s="53" t="s">
        <v>149</v>
      </c>
      <c r="B11" s="26">
        <v>7.4999999999999997E-2</v>
      </c>
      <c r="F11" s="77" t="s">
        <v>150</v>
      </c>
      <c r="G11" s="164">
        <v>18</v>
      </c>
      <c r="O11" s="113"/>
    </row>
    <row r="12" spans="1:15" ht="15.75" thickBot="1" x14ac:dyDescent="0.3">
      <c r="A12" s="49" t="s">
        <v>151</v>
      </c>
      <c r="B12" s="17">
        <f>SUM(B2:B7)</f>
        <v>19.2</v>
      </c>
      <c r="F12" s="12" t="s">
        <v>152</v>
      </c>
      <c r="G12" s="20" t="s">
        <v>154</v>
      </c>
      <c r="I12" t="s">
        <v>203</v>
      </c>
      <c r="J12">
        <v>6</v>
      </c>
    </row>
    <row r="13" spans="1:15" ht="15.75" thickBot="1" x14ac:dyDescent="0.3">
      <c r="A13" s="49" t="s">
        <v>153</v>
      </c>
      <c r="B13" s="47">
        <f>B11*B12^(3/4)</f>
        <v>0.68791881038714409</v>
      </c>
      <c r="E13" s="165" t="s">
        <v>123</v>
      </c>
      <c r="F13" s="167">
        <v>9</v>
      </c>
      <c r="G13" s="167">
        <v>9</v>
      </c>
    </row>
    <row r="14" spans="1:15" ht="15.75" thickBot="1" x14ac:dyDescent="0.3">
      <c r="A14" s="49" t="s">
        <v>155</v>
      </c>
      <c r="B14" s="101">
        <v>0.1211607683626667</v>
      </c>
      <c r="E14" s="166">
        <v>5</v>
      </c>
      <c r="F14" s="168">
        <v>9</v>
      </c>
      <c r="G14" s="168">
        <v>9</v>
      </c>
    </row>
    <row r="15" spans="1:15" ht="15.75" thickBot="1" x14ac:dyDescent="0.3">
      <c r="A15" s="49" t="s">
        <v>156</v>
      </c>
      <c r="B15" s="101">
        <v>8.3687766938041017E-2</v>
      </c>
      <c r="E15" s="166">
        <v>4</v>
      </c>
      <c r="F15" s="168">
        <v>9</v>
      </c>
      <c r="G15" s="168">
        <v>9</v>
      </c>
    </row>
    <row r="16" spans="1:15" ht="15.75" thickBot="1" x14ac:dyDescent="0.3">
      <c r="A16" s="114" t="s">
        <v>157</v>
      </c>
      <c r="B16" s="17">
        <v>1.3</v>
      </c>
      <c r="E16" s="166">
        <v>3</v>
      </c>
      <c r="F16" s="168">
        <v>9</v>
      </c>
      <c r="G16" s="168">
        <v>9</v>
      </c>
    </row>
    <row r="17" spans="1:11" ht="15.75" thickBot="1" x14ac:dyDescent="0.3">
      <c r="A17" s="114" t="s">
        <v>158</v>
      </c>
      <c r="B17" s="17">
        <f>4.5*B16</f>
        <v>5.8500000000000005</v>
      </c>
      <c r="C17" s="163" t="s">
        <v>159</v>
      </c>
      <c r="E17" s="166">
        <v>2</v>
      </c>
      <c r="F17" s="168">
        <v>9</v>
      </c>
      <c r="G17" s="168">
        <v>9</v>
      </c>
    </row>
    <row r="18" spans="1:11" ht="15.75" thickBot="1" x14ac:dyDescent="0.3">
      <c r="A18" s="114" t="s">
        <v>160</v>
      </c>
      <c r="B18" s="17">
        <v>1</v>
      </c>
      <c r="E18" s="166" t="s">
        <v>202</v>
      </c>
      <c r="F18" s="168">
        <v>9</v>
      </c>
      <c r="G18" s="168">
        <v>9</v>
      </c>
    </row>
    <row r="19" spans="1:11" ht="15.75" thickBot="1" x14ac:dyDescent="0.3">
      <c r="A19" s="115" t="s">
        <v>161</v>
      </c>
      <c r="B19" s="28">
        <f>B17*B18</f>
        <v>5.8500000000000005</v>
      </c>
    </row>
    <row r="21" spans="1:11" ht="15.75" thickBot="1" x14ac:dyDescent="0.3"/>
    <row r="22" spans="1:11" ht="15.75" thickBot="1" x14ac:dyDescent="0.3">
      <c r="A22" s="283" t="s">
        <v>162</v>
      </c>
      <c r="B22" s="284"/>
      <c r="C22" s="284"/>
      <c r="D22" s="284"/>
      <c r="E22" s="285"/>
    </row>
    <row r="23" spans="1:11" ht="15.75" customHeight="1" thickBot="1" x14ac:dyDescent="0.3">
      <c r="A23" s="116" t="s">
        <v>163</v>
      </c>
      <c r="B23" s="117">
        <f>0.85*E8*B15</f>
        <v>1456.7455945669894</v>
      </c>
      <c r="C23" t="s">
        <v>164</v>
      </c>
    </row>
    <row r="24" spans="1:11" ht="15.75" thickBot="1" x14ac:dyDescent="0.3"/>
    <row r="25" spans="1:11" x14ac:dyDescent="0.25">
      <c r="B25" s="118" t="s">
        <v>165</v>
      </c>
      <c r="C25" s="119" t="s">
        <v>166</v>
      </c>
      <c r="D25" s="119" t="s">
        <v>167</v>
      </c>
      <c r="E25" s="119" t="s">
        <v>168</v>
      </c>
      <c r="F25" s="119" t="s">
        <v>169</v>
      </c>
      <c r="G25" s="119" t="s">
        <v>170</v>
      </c>
      <c r="H25" s="120" t="s">
        <v>171</v>
      </c>
      <c r="I25" s="120" t="s">
        <v>172</v>
      </c>
      <c r="J25" s="120" t="s">
        <v>173</v>
      </c>
      <c r="K25" s="121" t="s">
        <v>174</v>
      </c>
    </row>
    <row r="26" spans="1:11" x14ac:dyDescent="0.25">
      <c r="B26" s="105">
        <f>B27+B2</f>
        <v>19.2</v>
      </c>
      <c r="C26" s="42">
        <f t="shared" ref="C26:C31" si="2">E2*B26</f>
        <v>56838.144</v>
      </c>
      <c r="D26" s="42">
        <f t="shared" ref="D26:D31" si="3">(C26*$B$23)/$C$33</f>
        <v>351.6403233952185</v>
      </c>
      <c r="E26" s="42">
        <f>D26</f>
        <v>351.6403233952185</v>
      </c>
      <c r="F26" s="42">
        <f t="shared" ref="F26:F31" si="4">E26/F13</f>
        <v>39.071147043913165</v>
      </c>
      <c r="G26" s="42">
        <f>0.5*F26*B2</f>
        <v>52.746048509282772</v>
      </c>
      <c r="H26" s="42">
        <f>G26/2</f>
        <v>26.373024254641386</v>
      </c>
      <c r="I26" s="42">
        <f t="shared" ref="I26:I31" si="5">H26/$J$12</f>
        <v>4.3955040424402307</v>
      </c>
      <c r="J26" s="42">
        <f t="shared" ref="J26:J31" si="6">2*I26</f>
        <v>8.7910080848804615</v>
      </c>
      <c r="K26" s="47">
        <f>J26</f>
        <v>8.7910080848804615</v>
      </c>
    </row>
    <row r="27" spans="1:11" x14ac:dyDescent="0.25">
      <c r="B27" s="105">
        <f>B28+B3</f>
        <v>16.5</v>
      </c>
      <c r="C27" s="42">
        <f t="shared" si="2"/>
        <v>58682.25</v>
      </c>
      <c r="D27" s="42">
        <f t="shared" si="3"/>
        <v>363.04924677975157</v>
      </c>
      <c r="E27" s="42">
        <f>E26+D27</f>
        <v>714.68957017497007</v>
      </c>
      <c r="F27" s="42">
        <f t="shared" si="4"/>
        <v>79.409952241663348</v>
      </c>
      <c r="G27" s="42">
        <f>0.5*F27*B3</f>
        <v>127.05592358666136</v>
      </c>
      <c r="H27" s="42">
        <f>(G26+G27)/2</f>
        <v>89.900986047972069</v>
      </c>
      <c r="I27" s="42">
        <f t="shared" si="5"/>
        <v>14.983497674662011</v>
      </c>
      <c r="J27" s="42">
        <f t="shared" si="6"/>
        <v>29.966995349324023</v>
      </c>
      <c r="K27" s="47">
        <f>K26+J27</f>
        <v>38.758003434204483</v>
      </c>
    </row>
    <row r="28" spans="1:11" x14ac:dyDescent="0.25">
      <c r="B28" s="105">
        <f>B29+B4</f>
        <v>13.3</v>
      </c>
      <c r="C28" s="42">
        <f t="shared" si="2"/>
        <v>47301.450000000004</v>
      </c>
      <c r="D28" s="42">
        <f t="shared" si="3"/>
        <v>292.63969588913312</v>
      </c>
      <c r="E28" s="42">
        <f>E27+D28</f>
        <v>1007.3292660641032</v>
      </c>
      <c r="F28" s="42">
        <f t="shared" si="4"/>
        <v>111.92547400712257</v>
      </c>
      <c r="G28" s="42">
        <f>0.5*F28*B4</f>
        <v>179.08075841139612</v>
      </c>
      <c r="H28" s="42">
        <f>(G27+G28)/2</f>
        <v>153.06834099902875</v>
      </c>
      <c r="I28" s="42">
        <f t="shared" si="5"/>
        <v>25.511390166504793</v>
      </c>
      <c r="J28" s="42">
        <f t="shared" si="6"/>
        <v>51.022780333009585</v>
      </c>
      <c r="K28" s="47">
        <f>K27+J28</f>
        <v>89.780783767214075</v>
      </c>
    </row>
    <row r="29" spans="1:11" x14ac:dyDescent="0.25">
      <c r="B29" s="105">
        <f>B30+B5</f>
        <v>10.100000000000001</v>
      </c>
      <c r="C29" s="42">
        <f t="shared" si="2"/>
        <v>35920.65</v>
      </c>
      <c r="D29" s="42">
        <f t="shared" si="3"/>
        <v>222.23014499851465</v>
      </c>
      <c r="E29" s="42">
        <f>E28+D29</f>
        <v>1229.5594110626178</v>
      </c>
      <c r="F29" s="42">
        <f t="shared" si="4"/>
        <v>136.61771234029086</v>
      </c>
      <c r="G29" s="42">
        <f>0.5*F29*B5</f>
        <v>218.5883397444654</v>
      </c>
      <c r="H29" s="42">
        <f>(G28+G29)/2</f>
        <v>198.83454907793077</v>
      </c>
      <c r="I29" s="42">
        <f t="shared" si="5"/>
        <v>33.139091512988465</v>
      </c>
      <c r="J29" s="42">
        <f t="shared" si="6"/>
        <v>66.278183025976929</v>
      </c>
      <c r="K29" s="47">
        <f>K28+J29</f>
        <v>156.05896679319102</v>
      </c>
    </row>
    <row r="30" spans="1:11" ht="15.75" thickBot="1" x14ac:dyDescent="0.3">
      <c r="B30" s="105">
        <f>B31+B6</f>
        <v>6.9</v>
      </c>
      <c r="C30" s="42">
        <f t="shared" si="2"/>
        <v>24539.850000000002</v>
      </c>
      <c r="D30" s="42">
        <f t="shared" si="3"/>
        <v>151.82059410789614</v>
      </c>
      <c r="E30" s="42">
        <f>E29+D30</f>
        <v>1381.3800051705139</v>
      </c>
      <c r="F30" s="42">
        <f t="shared" si="4"/>
        <v>153.48666724116822</v>
      </c>
      <c r="G30" s="42">
        <f>0.5*F30*B6</f>
        <v>245.57866758586917</v>
      </c>
      <c r="H30" s="42">
        <f>(G29+G30)/2</f>
        <v>232.08350366516729</v>
      </c>
      <c r="I30" s="42">
        <f t="shared" si="5"/>
        <v>38.680583944194545</v>
      </c>
      <c r="J30" s="42">
        <f t="shared" si="6"/>
        <v>77.36116788838909</v>
      </c>
      <c r="K30" s="47">
        <f>K29+J30</f>
        <v>233.42013468158012</v>
      </c>
    </row>
    <row r="31" spans="1:11" ht="15.75" thickBot="1" x14ac:dyDescent="0.3">
      <c r="A31" s="122" t="s">
        <v>175</v>
      </c>
      <c r="B31" s="123">
        <v>3.7</v>
      </c>
      <c r="C31" s="36">
        <f t="shared" si="2"/>
        <v>12181.880000000001</v>
      </c>
      <c r="D31" s="42">
        <f t="shared" si="3"/>
        <v>75.365589396475443</v>
      </c>
      <c r="E31" s="36">
        <f>E30+D31</f>
        <v>1456.7455945669892</v>
      </c>
      <c r="F31" s="42">
        <f t="shared" si="4"/>
        <v>161.86062161855435</v>
      </c>
      <c r="G31" s="36">
        <f>0.4*F31*B7</f>
        <v>239.55371999546045</v>
      </c>
      <c r="H31" s="36">
        <f>(G30+G31)/2</f>
        <v>242.56619379066481</v>
      </c>
      <c r="I31" s="42">
        <f t="shared" si="5"/>
        <v>40.4276989651108</v>
      </c>
      <c r="J31" s="42">
        <f t="shared" si="6"/>
        <v>80.855397930221599</v>
      </c>
      <c r="K31" s="47">
        <f>K30+J31</f>
        <v>314.27553261180174</v>
      </c>
    </row>
    <row r="32" spans="1:11" ht="15.75" thickBot="1" x14ac:dyDescent="0.3">
      <c r="A32" s="124" t="s">
        <v>176</v>
      </c>
      <c r="G32" s="60">
        <f>0.6*F31*B7</f>
        <v>359.33057999319067</v>
      </c>
    </row>
    <row r="33" spans="1:9" ht="15.75" thickBot="1" x14ac:dyDescent="0.3">
      <c r="A33" s="125" t="s">
        <v>17</v>
      </c>
      <c r="B33" s="126"/>
      <c r="C33" s="127">
        <f>SUM(C26:C31)</f>
        <v>235464.22400000002</v>
      </c>
      <c r="D33" s="127">
        <f>SUM(D26:D31)</f>
        <v>1456.7455945669892</v>
      </c>
      <c r="E33" s="128">
        <f>SUM(E26:E31)</f>
        <v>6141.3441704344123</v>
      </c>
    </row>
    <row r="34" spans="1:9" x14ac:dyDescent="0.25">
      <c r="A34" s="8"/>
      <c r="B34" s="38"/>
      <c r="C34" s="129"/>
      <c r="D34" s="8"/>
    </row>
    <row r="35" spans="1:9" ht="15.75" thickBot="1" x14ac:dyDescent="0.3">
      <c r="A35" s="8"/>
      <c r="B35" s="8"/>
      <c r="C35" s="8"/>
      <c r="D35" s="8"/>
    </row>
    <row r="36" spans="1:9" ht="15.75" thickBot="1" x14ac:dyDescent="0.3">
      <c r="E36" s="286" t="s">
        <v>177</v>
      </c>
      <c r="F36" s="280"/>
      <c r="G36" s="280"/>
      <c r="H36" s="281"/>
      <c r="I36" s="130"/>
    </row>
    <row r="37" spans="1:9" ht="15.75" thickBot="1" x14ac:dyDescent="0.3">
      <c r="E37" s="53" t="s">
        <v>178</v>
      </c>
      <c r="F37" s="54" t="s">
        <v>169</v>
      </c>
      <c r="G37" s="54" t="s">
        <v>170</v>
      </c>
      <c r="H37" s="55" t="s">
        <v>171</v>
      </c>
    </row>
    <row r="38" spans="1:9" x14ac:dyDescent="0.25">
      <c r="D38" s="131" t="s">
        <v>123</v>
      </c>
      <c r="E38" s="132">
        <f t="shared" ref="E38:G44" si="7">E26</f>
        <v>351.6403233952185</v>
      </c>
      <c r="F38" s="133">
        <f>F26*1.2</f>
        <v>46.885376452695795</v>
      </c>
      <c r="G38" s="133">
        <f>G26*1.2</f>
        <v>63.295258211139327</v>
      </c>
      <c r="H38" s="17">
        <f>H26*1.2</f>
        <v>31.647629105569663</v>
      </c>
    </row>
    <row r="39" spans="1:9" x14ac:dyDescent="0.25">
      <c r="D39" s="134">
        <v>4</v>
      </c>
      <c r="E39" s="132">
        <f t="shared" si="7"/>
        <v>714.68957017497007</v>
      </c>
      <c r="F39" s="133">
        <f>F27*1.2</f>
        <v>95.29194268999602</v>
      </c>
      <c r="G39" s="133">
        <f t="shared" si="7"/>
        <v>127.05592358666136</v>
      </c>
      <c r="H39" s="17">
        <f>H27*1.2</f>
        <v>107.88118325756648</v>
      </c>
    </row>
    <row r="40" spans="1:9" x14ac:dyDescent="0.25">
      <c r="D40" s="134">
        <v>3</v>
      </c>
      <c r="E40" s="132">
        <f t="shared" si="7"/>
        <v>1007.3292660641032</v>
      </c>
      <c r="F40" s="133">
        <f>F28*1.2</f>
        <v>134.31056880854709</v>
      </c>
      <c r="G40" s="133">
        <f t="shared" si="7"/>
        <v>179.08075841139612</v>
      </c>
      <c r="H40" s="17">
        <f>H28*1.2</f>
        <v>183.68200919883449</v>
      </c>
    </row>
    <row r="41" spans="1:9" x14ac:dyDescent="0.25">
      <c r="D41" s="134">
        <v>2</v>
      </c>
      <c r="E41" s="132">
        <f t="shared" si="7"/>
        <v>1229.5594110626178</v>
      </c>
      <c r="F41" s="133">
        <f>F29*1.2</f>
        <v>163.94125480834904</v>
      </c>
      <c r="G41" s="133">
        <f t="shared" si="7"/>
        <v>218.5883397444654</v>
      </c>
      <c r="H41" s="17">
        <f>H29*1.2</f>
        <v>238.60145889351691</v>
      </c>
    </row>
    <row r="42" spans="1:9" x14ac:dyDescent="0.25">
      <c r="D42" s="134">
        <v>1</v>
      </c>
      <c r="E42" s="132">
        <f t="shared" si="7"/>
        <v>1381.3800051705139</v>
      </c>
      <c r="F42" s="133">
        <f>F30*1.2</f>
        <v>184.18400068940187</v>
      </c>
      <c r="G42" s="133">
        <f t="shared" si="7"/>
        <v>245.57866758586917</v>
      </c>
      <c r="H42" s="17">
        <f>H30*1.2</f>
        <v>278.50020439820071</v>
      </c>
    </row>
    <row r="43" spans="1:9" ht="15.75" thickBot="1" x14ac:dyDescent="0.3">
      <c r="D43" s="135" t="s">
        <v>179</v>
      </c>
      <c r="E43" s="132">
        <f t="shared" si="7"/>
        <v>1456.7455945669892</v>
      </c>
      <c r="F43" s="133">
        <f>F31*1.2</f>
        <v>194.23274594226521</v>
      </c>
      <c r="G43" s="136">
        <f t="shared" si="7"/>
        <v>239.55371999546045</v>
      </c>
      <c r="H43" s="17">
        <f>H31*1.2</f>
        <v>291.07943254879774</v>
      </c>
    </row>
    <row r="44" spans="1:9" ht="15.75" thickBot="1" x14ac:dyDescent="0.3">
      <c r="D44" s="137" t="s">
        <v>180</v>
      </c>
      <c r="E44" s="138"/>
      <c r="F44" s="138"/>
      <c r="G44" s="139">
        <f t="shared" si="7"/>
        <v>359.33057999319067</v>
      </c>
      <c r="H44" s="8"/>
    </row>
    <row r="45" spans="1:9" ht="15.75" thickBot="1" x14ac:dyDescent="0.3">
      <c r="E45" s="8"/>
      <c r="F45" s="8"/>
    </row>
    <row r="46" spans="1:9" ht="15.75" thickBot="1" x14ac:dyDescent="0.3">
      <c r="E46" s="287" t="s">
        <v>181</v>
      </c>
      <c r="F46" s="288"/>
      <c r="G46" s="288"/>
      <c r="H46" s="289"/>
    </row>
    <row r="47" spans="1:9" ht="15.75" thickBot="1" x14ac:dyDescent="0.3">
      <c r="E47" s="140" t="s">
        <v>178</v>
      </c>
      <c r="F47" s="141" t="s">
        <v>169</v>
      </c>
      <c r="G47" s="141" t="s">
        <v>170</v>
      </c>
      <c r="H47" s="142" t="s">
        <v>171</v>
      </c>
    </row>
    <row r="48" spans="1:9" x14ac:dyDescent="0.25">
      <c r="D48" s="131" t="s">
        <v>123</v>
      </c>
      <c r="E48" s="143">
        <v>475.61367520889002</v>
      </c>
      <c r="F48" s="38">
        <f t="shared" ref="F48:H53" si="8">F26</f>
        <v>39.071147043913165</v>
      </c>
      <c r="G48" s="38">
        <f t="shared" ref="G48:G53" si="9">G26*1.5</f>
        <v>79.119072763924152</v>
      </c>
      <c r="H48" s="84">
        <f t="shared" si="8"/>
        <v>26.373024254641386</v>
      </c>
    </row>
    <row r="49" spans="1:10" x14ac:dyDescent="0.25">
      <c r="D49" s="134">
        <v>4</v>
      </c>
      <c r="E49" s="143">
        <v>1013.5022063720858</v>
      </c>
      <c r="F49" s="38">
        <f t="shared" si="8"/>
        <v>79.409952241663348</v>
      </c>
      <c r="G49" s="38">
        <f t="shared" si="9"/>
        <v>190.58388537999204</v>
      </c>
      <c r="H49" s="84">
        <f t="shared" si="8"/>
        <v>89.900986047972069</v>
      </c>
    </row>
    <row r="50" spans="1:10" x14ac:dyDescent="0.25">
      <c r="D50" s="134">
        <v>3</v>
      </c>
      <c r="E50" s="143">
        <v>1447.0729617945406</v>
      </c>
      <c r="F50" s="38">
        <f t="shared" si="8"/>
        <v>111.92547400712257</v>
      </c>
      <c r="G50" s="38">
        <f t="shared" si="9"/>
        <v>268.62113761709418</v>
      </c>
      <c r="H50" s="84">
        <f t="shared" si="8"/>
        <v>153.06834099902875</v>
      </c>
    </row>
    <row r="51" spans="1:10" x14ac:dyDescent="0.25">
      <c r="D51" s="134">
        <v>2</v>
      </c>
      <c r="E51" s="143">
        <v>1776.3259414762542</v>
      </c>
      <c r="F51" s="38">
        <f t="shared" si="8"/>
        <v>136.61771234029086</v>
      </c>
      <c r="G51" s="38">
        <f t="shared" si="9"/>
        <v>327.88250961669809</v>
      </c>
      <c r="H51" s="84">
        <f t="shared" si="8"/>
        <v>198.83454907793077</v>
      </c>
    </row>
    <row r="52" spans="1:10" x14ac:dyDescent="0.25">
      <c r="D52" s="134">
        <v>1</v>
      </c>
      <c r="E52" s="143">
        <v>1984.5578170435981</v>
      </c>
      <c r="F52" s="38">
        <f t="shared" si="8"/>
        <v>153.48666724116822</v>
      </c>
      <c r="G52" s="38">
        <f t="shared" si="9"/>
        <v>368.36800137880374</v>
      </c>
      <c r="H52" s="84">
        <f t="shared" si="8"/>
        <v>232.08350366516729</v>
      </c>
    </row>
    <row r="53" spans="1:10" ht="15.75" thickBot="1" x14ac:dyDescent="0.3">
      <c r="D53" s="135" t="s">
        <v>179</v>
      </c>
      <c r="E53" s="144">
        <v>2096.2183879999998</v>
      </c>
      <c r="F53" s="144">
        <f t="shared" si="8"/>
        <v>161.86062161855435</v>
      </c>
      <c r="G53" s="38">
        <f t="shared" si="9"/>
        <v>359.33057999319067</v>
      </c>
      <c r="H53" s="83">
        <f t="shared" si="8"/>
        <v>242.56619379066481</v>
      </c>
    </row>
    <row r="54" spans="1:10" ht="15.75" thickBot="1" x14ac:dyDescent="0.3">
      <c r="D54" s="137" t="s">
        <v>180</v>
      </c>
      <c r="E54" s="145"/>
      <c r="F54" s="145"/>
      <c r="G54" s="146">
        <f>0.6*F53*B7</f>
        <v>359.33057999319067</v>
      </c>
      <c r="H54" s="145"/>
    </row>
    <row r="56" spans="1:10" ht="15.75" thickBot="1" x14ac:dyDescent="0.3"/>
    <row r="57" spans="1:10" ht="15.75" thickBot="1" x14ac:dyDescent="0.3">
      <c r="A57" s="251" t="s">
        <v>182</v>
      </c>
      <c r="B57" s="252"/>
      <c r="C57" s="252"/>
      <c r="D57" s="252"/>
      <c r="E57" s="252"/>
      <c r="F57" s="252"/>
      <c r="G57" s="253"/>
    </row>
    <row r="58" spans="1:10" ht="15.75" thickBot="1" x14ac:dyDescent="0.3">
      <c r="A58" s="103"/>
      <c r="B58" s="103"/>
      <c r="C58" s="103"/>
      <c r="D58" s="103"/>
      <c r="E58" s="103"/>
      <c r="F58" s="103"/>
      <c r="G58" s="103"/>
    </row>
    <row r="59" spans="1:10" ht="15.75" thickBot="1" x14ac:dyDescent="0.3">
      <c r="A59" s="147" t="s">
        <v>120</v>
      </c>
      <c r="B59" s="148" t="s">
        <v>183</v>
      </c>
      <c r="C59" s="148" t="s">
        <v>184</v>
      </c>
      <c r="D59" s="148" t="s">
        <v>185</v>
      </c>
      <c r="E59" s="148" t="s">
        <v>174</v>
      </c>
      <c r="F59" s="148" t="s">
        <v>186</v>
      </c>
      <c r="G59" s="147" t="s">
        <v>187</v>
      </c>
    </row>
    <row r="60" spans="1:10" x14ac:dyDescent="0.25">
      <c r="A60" s="149" t="s">
        <v>123</v>
      </c>
      <c r="B60" s="169">
        <f t="shared" ref="B60:B66" si="10">G48</f>
        <v>79.119072763924152</v>
      </c>
      <c r="C60" s="82">
        <f>'carichi unitari'!B167</f>
        <v>276.54534348000004</v>
      </c>
      <c r="D60" s="82">
        <f>'carichi unitari'!C167</f>
        <v>80.888311980000012</v>
      </c>
      <c r="E60" s="82">
        <f t="shared" ref="E60:E65" si="11">K26</f>
        <v>8.7910080848804615</v>
      </c>
      <c r="F60" s="170">
        <f t="shared" ref="F60:F65" si="12">C60+E60</f>
        <v>285.33635156488049</v>
      </c>
      <c r="G60" s="171">
        <f t="shared" ref="G60:G65" si="13">D60-E60</f>
        <v>72.097303895119552</v>
      </c>
    </row>
    <row r="61" spans="1:10" x14ac:dyDescent="0.25">
      <c r="A61" s="6">
        <v>4</v>
      </c>
      <c r="B61" s="172">
        <f t="shared" si="10"/>
        <v>190.58388537999204</v>
      </c>
      <c r="C61" s="38">
        <f>'carichi unitari'!B168</f>
        <v>291.84314348000004</v>
      </c>
      <c r="D61" s="38">
        <f>'carichi unitari'!C168</f>
        <v>96.186111980000007</v>
      </c>
      <c r="E61" s="38">
        <f t="shared" si="11"/>
        <v>38.758003434204483</v>
      </c>
      <c r="F61" s="150">
        <f t="shared" si="12"/>
        <v>330.60114691420449</v>
      </c>
      <c r="G61" s="151">
        <f t="shared" si="13"/>
        <v>57.428108545795524</v>
      </c>
    </row>
    <row r="62" spans="1:10" x14ac:dyDescent="0.25">
      <c r="A62" s="6">
        <v>3</v>
      </c>
      <c r="B62" s="172">
        <f t="shared" si="10"/>
        <v>268.62113761709418</v>
      </c>
      <c r="C62" s="38">
        <f>'carichi unitari'!B169</f>
        <v>583.68628696000007</v>
      </c>
      <c r="D62" s="38">
        <f>'carichi unitari'!C169</f>
        <v>192.37222396000001</v>
      </c>
      <c r="E62" s="38">
        <f t="shared" si="11"/>
        <v>89.780783767214075</v>
      </c>
      <c r="F62" s="150">
        <f t="shared" si="12"/>
        <v>673.46707072721415</v>
      </c>
      <c r="G62" s="151">
        <f t="shared" si="13"/>
        <v>102.59144019278594</v>
      </c>
    </row>
    <row r="63" spans="1:10" x14ac:dyDescent="0.25">
      <c r="A63" s="6">
        <v>2</v>
      </c>
      <c r="B63" s="172">
        <f t="shared" si="10"/>
        <v>327.88250961669809</v>
      </c>
      <c r="C63" s="38">
        <f>'carichi unitari'!B170</f>
        <v>875.52943044000017</v>
      </c>
      <c r="D63" s="38">
        <f>'carichi unitari'!C170</f>
        <v>288.55833594000001</v>
      </c>
      <c r="E63" s="38">
        <f t="shared" si="11"/>
        <v>156.05896679319102</v>
      </c>
      <c r="F63" s="150">
        <f t="shared" si="12"/>
        <v>1031.5883972331912</v>
      </c>
      <c r="G63" s="151">
        <f t="shared" si="13"/>
        <v>132.49936914680899</v>
      </c>
    </row>
    <row r="64" spans="1:10" x14ac:dyDescent="0.25">
      <c r="A64" s="6">
        <v>1</v>
      </c>
      <c r="B64" s="173">
        <f t="shared" si="10"/>
        <v>368.36800137880374</v>
      </c>
      <c r="C64" s="38">
        <f>'carichi unitari'!B171</f>
        <v>1167.3725739200001</v>
      </c>
      <c r="D64" s="38">
        <f>'carichi unitari'!C171</f>
        <v>384.74444792000003</v>
      </c>
      <c r="E64" s="38">
        <f t="shared" si="11"/>
        <v>233.42013468158012</v>
      </c>
      <c r="F64" s="150">
        <f t="shared" si="12"/>
        <v>1400.7927086015802</v>
      </c>
      <c r="G64" s="152">
        <f t="shared" si="13"/>
        <v>151.3243132384199</v>
      </c>
      <c r="I64" s="8"/>
      <c r="J64" s="8"/>
    </row>
    <row r="65" spans="1:10" ht="15.75" thickBot="1" x14ac:dyDescent="0.3">
      <c r="A65" s="149" t="s">
        <v>188</v>
      </c>
      <c r="B65" s="174">
        <f t="shared" si="10"/>
        <v>359.33057999319067</v>
      </c>
      <c r="C65" s="144">
        <f>'carichi unitari'!B172</f>
        <v>1459.2157174000001</v>
      </c>
      <c r="D65" s="144">
        <f>'carichi unitari'!C172</f>
        <v>480.93055990000005</v>
      </c>
      <c r="E65" s="144">
        <f t="shared" si="11"/>
        <v>314.27553261180174</v>
      </c>
      <c r="F65" s="153">
        <f t="shared" si="12"/>
        <v>1773.4912500118019</v>
      </c>
      <c r="G65" s="154">
        <f t="shared" si="13"/>
        <v>166.65502728819831</v>
      </c>
      <c r="I65" s="8"/>
      <c r="J65" s="8"/>
    </row>
    <row r="66" spans="1:10" ht="15.75" thickBot="1" x14ac:dyDescent="0.3">
      <c r="A66" s="13" t="s">
        <v>189</v>
      </c>
      <c r="B66" s="83">
        <f t="shared" si="10"/>
        <v>359.33057999319067</v>
      </c>
      <c r="C66" s="38"/>
      <c r="D66" s="8"/>
      <c r="E66" s="8"/>
      <c r="F66" s="8"/>
      <c r="G66" s="8"/>
    </row>
    <row r="67" spans="1:10" ht="15.75" customHeight="1" thickBot="1" x14ac:dyDescent="0.3">
      <c r="C67" s="8"/>
      <c r="D67" s="8"/>
      <c r="G67" s="8"/>
      <c r="H67" s="8"/>
      <c r="I67" s="8"/>
      <c r="J67" s="8"/>
    </row>
    <row r="68" spans="1:10" ht="15.75" thickBot="1" x14ac:dyDescent="0.3">
      <c r="A68" s="69" t="s">
        <v>190</v>
      </c>
      <c r="B68" s="71">
        <v>391.3</v>
      </c>
      <c r="D68" s="77" t="s">
        <v>191</v>
      </c>
      <c r="E68" s="77">
        <v>30</v>
      </c>
      <c r="G68" s="8"/>
      <c r="H68" s="38"/>
      <c r="I68" s="8"/>
      <c r="J68" s="8"/>
    </row>
    <row r="69" spans="1:10" ht="15.75" thickBot="1" x14ac:dyDescent="0.3">
      <c r="A69" s="12" t="s">
        <v>192</v>
      </c>
      <c r="B69" s="13">
        <v>14.17</v>
      </c>
      <c r="G69" s="8"/>
      <c r="H69" s="8"/>
      <c r="I69" s="8"/>
      <c r="J69" s="8"/>
    </row>
    <row r="70" spans="1:10" ht="15.75" thickBot="1" x14ac:dyDescent="0.3">
      <c r="G70" s="8"/>
      <c r="H70" s="8"/>
      <c r="I70" s="8"/>
      <c r="J70" s="8"/>
    </row>
    <row r="71" spans="1:10" ht="15.75" thickBot="1" x14ac:dyDescent="0.3">
      <c r="A71" s="290" t="s">
        <v>193</v>
      </c>
      <c r="B71" s="291"/>
      <c r="C71" s="292"/>
      <c r="G71" s="8"/>
      <c r="H71" s="8"/>
      <c r="I71" s="8"/>
      <c r="J71" s="8"/>
    </row>
    <row r="72" spans="1:10" ht="15.75" thickBot="1" x14ac:dyDescent="0.3">
      <c r="G72" s="8"/>
      <c r="H72" s="8"/>
      <c r="I72" s="8"/>
      <c r="J72" s="8"/>
    </row>
    <row r="73" spans="1:10" x14ac:dyDescent="0.25">
      <c r="A73" s="155" t="s">
        <v>194</v>
      </c>
      <c r="B73" s="156">
        <f>B64</f>
        <v>368.36800137880374</v>
      </c>
      <c r="C73" s="157" t="s">
        <v>195</v>
      </c>
      <c r="E73" t="s">
        <v>196</v>
      </c>
    </row>
    <row r="74" spans="1:10" ht="15.75" thickBot="1" x14ac:dyDescent="0.3">
      <c r="A74" s="158" t="s">
        <v>197</v>
      </c>
      <c r="B74" s="159">
        <f>G64</f>
        <v>151.3243132384199</v>
      </c>
      <c r="C74" s="160" t="s">
        <v>164</v>
      </c>
    </row>
    <row r="75" spans="1:10" ht="15.75" thickBot="1" x14ac:dyDescent="0.3"/>
    <row r="76" spans="1:10" x14ac:dyDescent="0.25">
      <c r="A76" s="155" t="s">
        <v>194</v>
      </c>
      <c r="B76" s="156">
        <f>B65</f>
        <v>359.33057999319067</v>
      </c>
      <c r="C76" s="157" t="s">
        <v>195</v>
      </c>
    </row>
    <row r="77" spans="1:10" ht="15.75" thickBot="1" x14ac:dyDescent="0.3">
      <c r="A77" s="158" t="s">
        <v>197</v>
      </c>
      <c r="B77" s="159">
        <f>F65</f>
        <v>1773.4912500118019</v>
      </c>
      <c r="C77" s="160" t="s">
        <v>164</v>
      </c>
    </row>
    <row r="78" spans="1:10" x14ac:dyDescent="0.25">
      <c r="A78" s="8"/>
      <c r="B78" s="38"/>
    </row>
    <row r="79" spans="1:10" x14ac:dyDescent="0.25">
      <c r="A79" s="8"/>
      <c r="B79" s="38"/>
    </row>
    <row r="104" spans="1:8" ht="15.75" thickBot="1" x14ac:dyDescent="0.3"/>
    <row r="105" spans="1:8" ht="15.75" thickBot="1" x14ac:dyDescent="0.3">
      <c r="A105" s="251" t="s">
        <v>198</v>
      </c>
      <c r="B105" s="280"/>
      <c r="C105" s="280"/>
      <c r="D105" s="280"/>
      <c r="E105" s="281"/>
    </row>
    <row r="108" spans="1:8" ht="15.75" thickBot="1" x14ac:dyDescent="0.3"/>
    <row r="109" spans="1:8" ht="15.75" thickBot="1" x14ac:dyDescent="0.3">
      <c r="A109" s="18"/>
      <c r="B109" s="77" t="s">
        <v>206</v>
      </c>
      <c r="C109" s="77" t="s">
        <v>205</v>
      </c>
      <c r="D109" s="77" t="s">
        <v>199</v>
      </c>
      <c r="E109" s="77" t="s">
        <v>200</v>
      </c>
      <c r="F109" s="77" t="s">
        <v>201</v>
      </c>
      <c r="G109" s="19" t="s">
        <v>210</v>
      </c>
    </row>
    <row r="110" spans="1:8" ht="15.75" thickBot="1" x14ac:dyDescent="0.3">
      <c r="A110" s="5" t="s">
        <v>123</v>
      </c>
      <c r="B110" s="143">
        <f>'carichi unitari'!$E$119*'carichi unitari'!$B$115^2/10</f>
        <v>140.03997120000002</v>
      </c>
      <c r="C110" s="176">
        <f t="shared" ref="C110:C115" si="14">H48</f>
        <v>26.373024254641386</v>
      </c>
      <c r="D110" s="176">
        <f t="shared" ref="D110:D115" si="15">B110+C110</f>
        <v>166.41299545464142</v>
      </c>
      <c r="E110" s="179">
        <v>25</v>
      </c>
      <c r="F110" s="179">
        <v>0.3</v>
      </c>
      <c r="G110" s="84">
        <f t="shared" ref="G110:G115" si="16">0.018*SQRT(D110/F110)</f>
        <v>0.42394107502224021</v>
      </c>
      <c r="H110" s="180" t="s">
        <v>209</v>
      </c>
    </row>
    <row r="111" spans="1:8" ht="15.75" thickBot="1" x14ac:dyDescent="0.3">
      <c r="A111" s="5">
        <v>5</v>
      </c>
      <c r="B111" s="161">
        <f>'carichi unitari'!$E$119*'carichi unitari'!$B$115^2/10</f>
        <v>140.03997120000002</v>
      </c>
      <c r="C111" s="177">
        <f t="shared" si="14"/>
        <v>89.900986047972069</v>
      </c>
      <c r="D111" s="177">
        <f t="shared" si="15"/>
        <v>229.94095724797211</v>
      </c>
      <c r="E111" s="14">
        <v>25</v>
      </c>
      <c r="F111" s="14">
        <v>0.3</v>
      </c>
      <c r="G111" s="84">
        <f t="shared" si="16"/>
        <v>0.49833345646044064</v>
      </c>
      <c r="H111" s="180" t="s">
        <v>208</v>
      </c>
    </row>
    <row r="112" spans="1:8" ht="15.75" thickBot="1" x14ac:dyDescent="0.3">
      <c r="A112" s="5">
        <v>4</v>
      </c>
      <c r="B112" s="161">
        <f>'carichi unitari'!$E$119*'carichi unitari'!$B$115^2/10</f>
        <v>140.03997120000002</v>
      </c>
      <c r="C112" s="177">
        <f t="shared" si="14"/>
        <v>153.06834099902875</v>
      </c>
      <c r="D112" s="177">
        <f t="shared" si="15"/>
        <v>293.10831219902877</v>
      </c>
      <c r="E112" s="14">
        <v>25</v>
      </c>
      <c r="F112" s="14">
        <v>0.3</v>
      </c>
      <c r="G112" s="84">
        <f t="shared" si="16"/>
        <v>0.56263396375881103</v>
      </c>
      <c r="H112" s="180" t="s">
        <v>208</v>
      </c>
    </row>
    <row r="113" spans="1:8" ht="15.75" thickBot="1" x14ac:dyDescent="0.3">
      <c r="A113" s="5">
        <v>3</v>
      </c>
      <c r="B113" s="161">
        <f>'carichi unitari'!$E$119*'carichi unitari'!$B$115^2/10</f>
        <v>140.03997120000002</v>
      </c>
      <c r="C113" s="177">
        <f t="shared" si="14"/>
        <v>198.83454907793077</v>
      </c>
      <c r="D113" s="177">
        <f t="shared" si="15"/>
        <v>338.8745202779308</v>
      </c>
      <c r="E113" s="14">
        <v>25</v>
      </c>
      <c r="F113" s="14">
        <v>0.3</v>
      </c>
      <c r="G113" s="84">
        <f t="shared" si="16"/>
        <v>0.60496651304032123</v>
      </c>
      <c r="H113" s="180" t="s">
        <v>207</v>
      </c>
    </row>
    <row r="114" spans="1:8" ht="15.75" thickBot="1" x14ac:dyDescent="0.3">
      <c r="A114" s="5">
        <v>2</v>
      </c>
      <c r="B114" s="161">
        <f>'carichi unitari'!$E$119*'carichi unitari'!$B$115^2/10</f>
        <v>140.03997120000002</v>
      </c>
      <c r="C114" s="177">
        <f t="shared" si="14"/>
        <v>232.08350366516729</v>
      </c>
      <c r="D114" s="177">
        <f t="shared" si="15"/>
        <v>372.12347486516728</v>
      </c>
      <c r="E114" s="14">
        <v>25</v>
      </c>
      <c r="F114" s="14">
        <v>0.3</v>
      </c>
      <c r="G114" s="84">
        <f t="shared" si="16"/>
        <v>0.6339505918085262</v>
      </c>
      <c r="H114" s="180" t="s">
        <v>207</v>
      </c>
    </row>
    <row r="115" spans="1:8" ht="15.75" thickBot="1" x14ac:dyDescent="0.3">
      <c r="A115" s="12" t="s">
        <v>202</v>
      </c>
      <c r="B115" s="175">
        <f>'carichi unitari'!$E$119*'carichi unitari'!$B$115^2/10</f>
        <v>140.03997120000002</v>
      </c>
      <c r="C115" s="178">
        <f t="shared" si="14"/>
        <v>242.56619379066481</v>
      </c>
      <c r="D115" s="178">
        <f t="shared" si="15"/>
        <v>382.60616499066487</v>
      </c>
      <c r="E115" s="20">
        <v>25</v>
      </c>
      <c r="F115" s="20">
        <v>0.3</v>
      </c>
      <c r="G115" s="83">
        <f t="shared" si="16"/>
        <v>0.64281774881370379</v>
      </c>
      <c r="H115" s="180" t="s">
        <v>207</v>
      </c>
    </row>
  </sheetData>
  <mergeCells count="7">
    <mergeCell ref="A105:E105"/>
    <mergeCell ref="A8:D8"/>
    <mergeCell ref="A22:E22"/>
    <mergeCell ref="E36:H36"/>
    <mergeCell ref="E46:H46"/>
    <mergeCell ref="A57:G57"/>
    <mergeCell ref="A71:C7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2"/>
  <sheetViews>
    <sheetView zoomScale="70" zoomScaleNormal="70" workbookViewId="0">
      <selection activeCell="X29" sqref="X29"/>
    </sheetView>
  </sheetViews>
  <sheetFormatPr defaultRowHeight="15" x14ac:dyDescent="0.25"/>
  <sheetData>
    <row r="1" spans="1:28" ht="15.75" thickBot="1" x14ac:dyDescent="0.3">
      <c r="A1" s="286" t="s">
        <v>211</v>
      </c>
      <c r="B1" s="280"/>
      <c r="C1" s="280"/>
      <c r="D1" s="280"/>
      <c r="E1" s="280"/>
      <c r="F1" s="281"/>
    </row>
    <row r="3" spans="1:28" ht="15.75" thickBot="1" x14ac:dyDescent="0.3"/>
    <row r="4" spans="1:28" ht="15.75" thickBot="1" x14ac:dyDescent="0.3">
      <c r="B4" s="274" t="s">
        <v>212</v>
      </c>
      <c r="C4" s="295"/>
      <c r="D4" s="295"/>
      <c r="E4" s="295"/>
      <c r="F4" s="295"/>
      <c r="G4" s="296"/>
      <c r="N4" s="274" t="s">
        <v>221</v>
      </c>
      <c r="O4" s="295"/>
      <c r="P4" s="295"/>
      <c r="Q4" s="295"/>
      <c r="R4" s="295"/>
      <c r="S4" s="296"/>
      <c r="X4" s="307" t="s">
        <v>244</v>
      </c>
      <c r="Y4" s="307"/>
      <c r="Z4" s="307"/>
      <c r="AA4" s="307"/>
      <c r="AB4" s="307"/>
    </row>
    <row r="5" spans="1:28" x14ac:dyDescent="0.25">
      <c r="B5" s="69"/>
      <c r="C5" s="70"/>
      <c r="D5" s="181" t="s">
        <v>55</v>
      </c>
      <c r="E5" s="182" t="s">
        <v>74</v>
      </c>
      <c r="F5" s="183" t="s">
        <v>213</v>
      </c>
      <c r="G5" s="184" t="s">
        <v>214</v>
      </c>
      <c r="H5" s="185" t="s">
        <v>55</v>
      </c>
      <c r="I5" s="186" t="s">
        <v>215</v>
      </c>
      <c r="N5" s="69"/>
      <c r="O5" s="70"/>
      <c r="P5" s="181" t="s">
        <v>55</v>
      </c>
      <c r="Q5" s="182" t="s">
        <v>74</v>
      </c>
      <c r="R5" s="183" t="s">
        <v>213</v>
      </c>
      <c r="S5" s="184" t="s">
        <v>214</v>
      </c>
      <c r="T5" s="185" t="s">
        <v>55</v>
      </c>
      <c r="U5" s="186" t="s">
        <v>215</v>
      </c>
      <c r="X5" s="42">
        <f>G19</f>
        <v>27.687210523694493</v>
      </c>
      <c r="Y5" s="195">
        <f>G20</f>
        <v>49.832407592299866</v>
      </c>
      <c r="Z5" s="195">
        <f>G21</f>
        <v>49.832407592299866</v>
      </c>
      <c r="AA5" s="195">
        <f>G22</f>
        <v>86.002908803345989</v>
      </c>
      <c r="AB5" s="219">
        <f>G23</f>
        <v>47.829608363124017</v>
      </c>
    </row>
    <row r="6" spans="1:28" x14ac:dyDescent="0.25">
      <c r="B6" s="297"/>
      <c r="C6" s="297"/>
      <c r="D6" s="188">
        <v>1</v>
      </c>
      <c r="E6" s="189">
        <f>[1]pil1!$H$3</f>
        <v>30</v>
      </c>
      <c r="F6" s="189">
        <f>[1]pil1!$H$4</f>
        <v>70</v>
      </c>
      <c r="G6" s="42">
        <f>[2]pil1!$L$5</f>
        <v>27.687210523694493</v>
      </c>
      <c r="H6" s="16">
        <v>1</v>
      </c>
      <c r="I6" s="42">
        <f>G6*H6</f>
        <v>27.687210523694493</v>
      </c>
      <c r="N6" s="297"/>
      <c r="O6" s="297"/>
      <c r="P6" s="188">
        <v>1</v>
      </c>
      <c r="Q6" s="189">
        <f>[1]pil1!$H$3</f>
        <v>30</v>
      </c>
      <c r="R6" s="189">
        <f>[1]pil1!$H$4</f>
        <v>70</v>
      </c>
      <c r="S6" s="42">
        <f>[3]pil1!$L$5</f>
        <v>5.2630011616209194</v>
      </c>
      <c r="T6" s="16">
        <v>1</v>
      </c>
      <c r="U6" s="42">
        <f>S6*T6</f>
        <v>5.2630011616209194</v>
      </c>
      <c r="X6" s="42">
        <f>I14</f>
        <v>17.847267997137852</v>
      </c>
      <c r="Y6" s="195">
        <f>G15</f>
        <v>9.594423119604242</v>
      </c>
      <c r="Z6" s="195">
        <f>G16</f>
        <v>10.621866836601761</v>
      </c>
      <c r="AA6" s="195">
        <f>G17</f>
        <v>9.8096707961844594</v>
      </c>
      <c r="AB6" s="42">
        <f>G18</f>
        <v>3.7658584259717971</v>
      </c>
    </row>
    <row r="7" spans="1:28" x14ac:dyDescent="0.25">
      <c r="B7" s="297"/>
      <c r="C7" s="297"/>
      <c r="D7" s="188">
        <v>2</v>
      </c>
      <c r="E7" s="104">
        <f>[1]pil2!$H$3</f>
        <v>70</v>
      </c>
      <c r="F7" s="104">
        <f>[1]pil2!$H$4</f>
        <v>30</v>
      </c>
      <c r="G7" s="42">
        <f>[2]pil2!$L$5</f>
        <v>6.4275054207323725</v>
      </c>
      <c r="H7" s="16">
        <v>1</v>
      </c>
      <c r="I7" s="42">
        <f t="shared" ref="I7:I23" si="0">G7*H7</f>
        <v>6.4275054207323725</v>
      </c>
      <c r="N7" s="297"/>
      <c r="O7" s="297"/>
      <c r="P7" s="188">
        <v>2</v>
      </c>
      <c r="Q7" s="104">
        <f>[1]pil2!$H$3</f>
        <v>70</v>
      </c>
      <c r="R7" s="104">
        <f>[1]pil2!$H$4</f>
        <v>30</v>
      </c>
      <c r="S7" s="42">
        <f>[3]pil2!$L$5</f>
        <v>12.203730834469331</v>
      </c>
      <c r="T7" s="16">
        <v>1</v>
      </c>
      <c r="U7" s="42">
        <f t="shared" ref="U7:U23" si="1">S7*T7</f>
        <v>12.203730834469331</v>
      </c>
      <c r="X7" s="60">
        <f>I9</f>
        <v>17.847267997137852</v>
      </c>
      <c r="Y7" s="218">
        <f>I10</f>
        <v>6.4275054207323725</v>
      </c>
      <c r="Z7" s="218">
        <f>I11</f>
        <v>6.1696907027828169</v>
      </c>
      <c r="AA7" s="218">
        <f>I12</f>
        <v>86.002908803345989</v>
      </c>
      <c r="AB7" s="60">
        <f>I13</f>
        <v>47.829608363124017</v>
      </c>
    </row>
    <row r="8" spans="1:28" x14ac:dyDescent="0.25">
      <c r="B8" s="56"/>
      <c r="C8" s="56"/>
      <c r="D8" s="188">
        <v>3</v>
      </c>
      <c r="E8" s="104">
        <f>[1]pil3!$H$3</f>
        <v>30</v>
      </c>
      <c r="F8" s="104">
        <f>[1]pil3!$H$4</f>
        <v>70</v>
      </c>
      <c r="G8" s="42">
        <f>[2]pil3!$L$5</f>
        <v>47.829608363124017</v>
      </c>
      <c r="H8" s="16">
        <v>1</v>
      </c>
      <c r="I8" s="42">
        <f t="shared" si="0"/>
        <v>47.829608363124017</v>
      </c>
      <c r="N8" s="187"/>
      <c r="O8" s="187"/>
      <c r="P8" s="188">
        <v>3</v>
      </c>
      <c r="Q8" s="104">
        <f>[1]pil3!$H$3</f>
        <v>30</v>
      </c>
      <c r="R8" s="104">
        <f>[1]pil3!$H$4</f>
        <v>70</v>
      </c>
      <c r="S8" s="42">
        <f>[3]pil3!$L$5</f>
        <v>31.757573734756122</v>
      </c>
      <c r="T8" s="16">
        <v>1</v>
      </c>
      <c r="U8" s="42">
        <f t="shared" si="1"/>
        <v>31.757573734756122</v>
      </c>
      <c r="X8" s="60">
        <f>I6</f>
        <v>27.687210523694493</v>
      </c>
      <c r="Y8" s="218">
        <f>I7</f>
        <v>6.4275054207323725</v>
      </c>
      <c r="Z8" s="218">
        <f>I8</f>
        <v>47.829608363124017</v>
      </c>
    </row>
    <row r="9" spans="1:28" x14ac:dyDescent="0.25">
      <c r="B9" s="56"/>
      <c r="C9" s="56"/>
      <c r="D9" s="188">
        <v>4</v>
      </c>
      <c r="E9" s="104">
        <f>[1]pil4!$H$3</f>
        <v>70</v>
      </c>
      <c r="F9" s="104">
        <f>[1]pil4!$H$4</f>
        <v>30</v>
      </c>
      <c r="G9" s="42">
        <f>[2]pil4!$L$5</f>
        <v>17.847267997137852</v>
      </c>
      <c r="H9" s="16">
        <v>1</v>
      </c>
      <c r="I9" s="42">
        <f t="shared" si="0"/>
        <v>17.847267997137852</v>
      </c>
      <c r="N9" s="187"/>
      <c r="O9" s="187"/>
      <c r="P9" s="188">
        <v>4</v>
      </c>
      <c r="Q9" s="104">
        <f>[1]pil4!$H$3</f>
        <v>70</v>
      </c>
      <c r="R9" s="104">
        <f>[1]pil4!$H$4</f>
        <v>30</v>
      </c>
      <c r="S9" s="42">
        <f>[3]pil4!$L$5</f>
        <v>31.61061861382672</v>
      </c>
      <c r="T9" s="16">
        <v>1</v>
      </c>
      <c r="U9" s="42">
        <f t="shared" si="1"/>
        <v>31.61061861382672</v>
      </c>
    </row>
    <row r="10" spans="1:28" ht="15.75" thickBot="1" x14ac:dyDescent="0.3">
      <c r="B10" s="56"/>
      <c r="C10" s="56"/>
      <c r="D10" s="188">
        <v>5</v>
      </c>
      <c r="E10" s="190">
        <f>[1]pil5!$H$3</f>
        <v>70</v>
      </c>
      <c r="F10" s="190">
        <f>[1]pil5!$H$4</f>
        <v>30</v>
      </c>
      <c r="G10" s="42">
        <f>[2]pil5!$L$5</f>
        <v>6.4275054207323725</v>
      </c>
      <c r="H10" s="16">
        <v>1</v>
      </c>
      <c r="I10" s="42">
        <f t="shared" si="0"/>
        <v>6.4275054207323725</v>
      </c>
      <c r="N10" s="187"/>
      <c r="O10" s="187"/>
      <c r="P10" s="188">
        <v>5</v>
      </c>
      <c r="Q10" s="190">
        <f>[1]pil5!$H$3</f>
        <v>70</v>
      </c>
      <c r="R10" s="190">
        <f>[1]pil5!$H$4</f>
        <v>30</v>
      </c>
      <c r="S10" s="42">
        <f>[3]pil5!$L$5</f>
        <v>21.526800620176981</v>
      </c>
      <c r="T10" s="16">
        <v>1</v>
      </c>
      <c r="U10" s="42">
        <f t="shared" si="1"/>
        <v>21.526800620176981</v>
      </c>
    </row>
    <row r="11" spans="1:28" x14ac:dyDescent="0.25">
      <c r="B11" s="56"/>
      <c r="C11" s="56"/>
      <c r="D11" s="188">
        <v>6</v>
      </c>
      <c r="E11" s="189">
        <f>[1]pil6!$H$3</f>
        <v>30</v>
      </c>
      <c r="F11" s="189">
        <f>[1]pil6!$H$4</f>
        <v>70</v>
      </c>
      <c r="G11" s="42">
        <f>[2]pil6!$L$5</f>
        <v>6.1696907027828169</v>
      </c>
      <c r="H11" s="16">
        <v>1</v>
      </c>
      <c r="I11" s="42">
        <f t="shared" si="0"/>
        <v>6.1696907027828169</v>
      </c>
      <c r="N11" s="187"/>
      <c r="O11" s="187"/>
      <c r="P11" s="188">
        <v>6</v>
      </c>
      <c r="Q11" s="189">
        <f>[1]pil6!$H$3</f>
        <v>30</v>
      </c>
      <c r="R11" s="189">
        <f>[1]pil6!$H$4</f>
        <v>70</v>
      </c>
      <c r="S11" s="42">
        <f>[3]pil6!$L$5</f>
        <v>2.7482106578849206</v>
      </c>
      <c r="T11" s="16">
        <v>1</v>
      </c>
      <c r="U11" s="42">
        <f t="shared" si="1"/>
        <v>2.7482106578849206</v>
      </c>
      <c r="X11" s="307" t="s">
        <v>245</v>
      </c>
      <c r="Y11" s="307"/>
      <c r="Z11" s="307"/>
      <c r="AA11" s="307"/>
      <c r="AB11" s="307"/>
    </row>
    <row r="12" spans="1:28" x14ac:dyDescent="0.25">
      <c r="B12" s="56"/>
      <c r="C12" s="56"/>
      <c r="D12" s="188">
        <v>7</v>
      </c>
      <c r="E12" s="104">
        <f>[1]pil7!$H$3</f>
        <v>30</v>
      </c>
      <c r="F12" s="104">
        <f>[1]pil7!$H$4</f>
        <v>70</v>
      </c>
      <c r="G12" s="42">
        <f>[2]pil7!$L$5</f>
        <v>86.002908803345989</v>
      </c>
      <c r="H12" s="16">
        <v>1</v>
      </c>
      <c r="I12" s="42">
        <f t="shared" si="0"/>
        <v>86.002908803345989</v>
      </c>
      <c r="N12" s="187"/>
      <c r="O12" s="187"/>
      <c r="P12" s="188">
        <v>7</v>
      </c>
      <c r="Q12" s="104">
        <f>[1]pil7!$H$3</f>
        <v>30</v>
      </c>
      <c r="R12" s="104">
        <f>[1]pil7!$H$4</f>
        <v>70</v>
      </c>
      <c r="S12" s="42">
        <f>[3]pil7!$L$5</f>
        <v>31.757573734756122</v>
      </c>
      <c r="T12" s="16">
        <v>1</v>
      </c>
      <c r="U12" s="42">
        <f t="shared" si="1"/>
        <v>31.757573734756122</v>
      </c>
      <c r="X12" s="42">
        <f>S19</f>
        <v>5.2630011616209194</v>
      </c>
      <c r="Y12" s="195">
        <f>S20</f>
        <v>45.829765113892535</v>
      </c>
      <c r="Z12" s="195">
        <f>S21</f>
        <v>45.829765113892535</v>
      </c>
      <c r="AA12" s="195">
        <f>S22</f>
        <v>31.757573734756122</v>
      </c>
      <c r="AB12" s="219">
        <f>S23</f>
        <v>31.757573734756122</v>
      </c>
    </row>
    <row r="13" spans="1:28" x14ac:dyDescent="0.25">
      <c r="B13" s="56"/>
      <c r="C13" s="56"/>
      <c r="D13" s="188">
        <v>8</v>
      </c>
      <c r="E13" s="104">
        <f>[1]pil8!$H$3</f>
        <v>30</v>
      </c>
      <c r="F13" s="104">
        <f>[1]pil8!$H$4</f>
        <v>70</v>
      </c>
      <c r="G13" s="42">
        <f>[2]pil8!$L$5</f>
        <v>47.829608363124017</v>
      </c>
      <c r="H13" s="16">
        <v>1</v>
      </c>
      <c r="I13" s="42">
        <f t="shared" si="0"/>
        <v>47.829608363124017</v>
      </c>
      <c r="N13" s="187"/>
      <c r="O13" s="187"/>
      <c r="P13" s="188">
        <v>8</v>
      </c>
      <c r="Q13" s="104">
        <f>[1]pil8!$H$3</f>
        <v>30</v>
      </c>
      <c r="R13" s="104">
        <f>[1]pil8!$H$4</f>
        <v>70</v>
      </c>
      <c r="S13" s="42">
        <f>[3]pil8!$L$5</f>
        <v>31.757573734756122</v>
      </c>
      <c r="T13" s="16">
        <v>1</v>
      </c>
      <c r="U13" s="42">
        <f t="shared" si="1"/>
        <v>31.757573734756122</v>
      </c>
      <c r="X13" s="42">
        <f>S14</f>
        <v>31.61061861382672</v>
      </c>
      <c r="Y13" s="195">
        <f>S15</f>
        <v>17.754569413751259</v>
      </c>
      <c r="Z13" s="195">
        <f>S16</f>
        <v>2.7482106578849206</v>
      </c>
      <c r="AA13" s="195">
        <f>S17</f>
        <v>12.872830000717872</v>
      </c>
      <c r="AB13" s="42">
        <f>S18</f>
        <v>12.872830000717872</v>
      </c>
    </row>
    <row r="14" spans="1:28" x14ac:dyDescent="0.25">
      <c r="B14" s="56"/>
      <c r="C14" s="56"/>
      <c r="D14" s="188">
        <v>9</v>
      </c>
      <c r="E14" s="104">
        <f>[1]pil9!$H$3</f>
        <v>70</v>
      </c>
      <c r="F14" s="104">
        <f>[1]pil9!$H$4</f>
        <v>30</v>
      </c>
      <c r="G14" s="42">
        <f>[2]pil9!$L$5</f>
        <v>17.847267997137852</v>
      </c>
      <c r="H14" s="16">
        <v>1</v>
      </c>
      <c r="I14" s="42">
        <f t="shared" si="0"/>
        <v>17.847267997137852</v>
      </c>
      <c r="N14" s="187"/>
      <c r="O14" s="187"/>
      <c r="P14" s="188">
        <v>9</v>
      </c>
      <c r="Q14" s="104">
        <f>[1]pil9!$H$3</f>
        <v>70</v>
      </c>
      <c r="R14" s="104">
        <f>[1]pil9!$H$4</f>
        <v>30</v>
      </c>
      <c r="S14" s="42">
        <f>[3]pil9!$L$5</f>
        <v>31.61061861382672</v>
      </c>
      <c r="T14" s="16">
        <v>1</v>
      </c>
      <c r="U14" s="42">
        <f t="shared" si="1"/>
        <v>31.61061861382672</v>
      </c>
      <c r="X14" s="60">
        <f>S9</f>
        <v>31.61061861382672</v>
      </c>
      <c r="Y14" s="218">
        <f>S10</f>
        <v>21.526800620176981</v>
      </c>
      <c r="Z14" s="218">
        <f>S11</f>
        <v>2.7482106578849206</v>
      </c>
      <c r="AA14" s="218">
        <f>S12</f>
        <v>31.757573734756122</v>
      </c>
      <c r="AB14" s="60">
        <f>S13</f>
        <v>31.757573734756122</v>
      </c>
    </row>
    <row r="15" spans="1:28" ht="15.75" thickBot="1" x14ac:dyDescent="0.3">
      <c r="B15" s="56"/>
      <c r="C15" s="56"/>
      <c r="D15" s="188">
        <v>10</v>
      </c>
      <c r="E15" s="190">
        <f>[1]pil10!$H$3</f>
        <v>70</v>
      </c>
      <c r="F15" s="190">
        <f>[1]pil10!$H$4</f>
        <v>30</v>
      </c>
      <c r="G15" s="42">
        <f>[2]pil10!$L$5</f>
        <v>9.594423119604242</v>
      </c>
      <c r="H15" s="16">
        <v>1</v>
      </c>
      <c r="I15" s="42">
        <f t="shared" si="0"/>
        <v>9.594423119604242</v>
      </c>
      <c r="N15" s="187"/>
      <c r="O15" s="187"/>
      <c r="P15" s="188">
        <v>10</v>
      </c>
      <c r="Q15" s="190">
        <f>[1]pil10!$H$3</f>
        <v>70</v>
      </c>
      <c r="R15" s="190">
        <f>[1]pil10!$H$4</f>
        <v>30</v>
      </c>
      <c r="S15" s="42">
        <f>[3]pil10!$L$5</f>
        <v>17.754569413751259</v>
      </c>
      <c r="T15" s="16">
        <v>1</v>
      </c>
      <c r="U15" s="42">
        <f t="shared" si="1"/>
        <v>17.754569413751259</v>
      </c>
      <c r="X15" s="60">
        <f>S6</f>
        <v>5.2630011616209194</v>
      </c>
      <c r="Y15" s="218">
        <f>S7</f>
        <v>12.203730834469331</v>
      </c>
      <c r="Z15" s="218">
        <f>S8</f>
        <v>31.757573734756122</v>
      </c>
    </row>
    <row r="16" spans="1:28" x14ac:dyDescent="0.25">
      <c r="B16" s="56"/>
      <c r="C16" s="56"/>
      <c r="D16" s="188">
        <v>11</v>
      </c>
      <c r="E16" s="189">
        <f>[1]pil11!$H$3</f>
        <v>30</v>
      </c>
      <c r="F16" s="189">
        <f>[1]pil11!$H$4</f>
        <v>70</v>
      </c>
      <c r="G16" s="42">
        <f>[2]pil11!$L$5</f>
        <v>10.621866836601761</v>
      </c>
      <c r="H16" s="16">
        <v>1</v>
      </c>
      <c r="I16" s="42">
        <f t="shared" si="0"/>
        <v>10.621866836601761</v>
      </c>
      <c r="N16" s="187"/>
      <c r="O16" s="187"/>
      <c r="P16" s="188">
        <v>11</v>
      </c>
      <c r="Q16" s="189">
        <f>[1]pil11!$H$3</f>
        <v>30</v>
      </c>
      <c r="R16" s="189">
        <f>[1]pil11!$H$4</f>
        <v>70</v>
      </c>
      <c r="S16" s="42">
        <f>[3]pil11!$L$5</f>
        <v>2.7482106578849206</v>
      </c>
      <c r="T16" s="16">
        <v>1</v>
      </c>
      <c r="U16" s="42">
        <f t="shared" si="1"/>
        <v>2.7482106578849206</v>
      </c>
    </row>
    <row r="17" spans="2:28" x14ac:dyDescent="0.25">
      <c r="B17" s="56"/>
      <c r="C17" s="56"/>
      <c r="D17" s="188">
        <v>12</v>
      </c>
      <c r="E17" s="104">
        <f>[1]pil12!$H$3</f>
        <v>70</v>
      </c>
      <c r="F17" s="104">
        <f>[1]pil12!$H$4</f>
        <v>30</v>
      </c>
      <c r="G17" s="42">
        <f>[2]pil12!$L$5</f>
        <v>9.8096707961844594</v>
      </c>
      <c r="H17" s="16">
        <v>1</v>
      </c>
      <c r="I17" s="42">
        <f t="shared" si="0"/>
        <v>9.8096707961844594</v>
      </c>
      <c r="N17" s="187"/>
      <c r="O17" s="187"/>
      <c r="P17" s="188">
        <v>12</v>
      </c>
      <c r="Q17" s="104">
        <f>[1]pil12!$H$3</f>
        <v>70</v>
      </c>
      <c r="R17" s="104">
        <f>[1]pil12!$H$4</f>
        <v>30</v>
      </c>
      <c r="S17" s="42">
        <f>[3]pil12!$L$5</f>
        <v>12.872830000717872</v>
      </c>
      <c r="T17" s="16">
        <v>1</v>
      </c>
      <c r="U17" s="42">
        <f t="shared" si="1"/>
        <v>12.872830000717872</v>
      </c>
    </row>
    <row r="18" spans="2:28" x14ac:dyDescent="0.25">
      <c r="B18" s="56"/>
      <c r="C18" s="56"/>
      <c r="D18" s="188">
        <v>13</v>
      </c>
      <c r="E18" s="104">
        <f>[1]pil13!$H$3</f>
        <v>70</v>
      </c>
      <c r="F18" s="104">
        <f>[1]pil13!$H$4</f>
        <v>30</v>
      </c>
      <c r="G18" s="42">
        <f>[2]pil13!$L$5</f>
        <v>3.7658584259717971</v>
      </c>
      <c r="H18" s="16">
        <v>1</v>
      </c>
      <c r="I18" s="42">
        <f t="shared" si="0"/>
        <v>3.7658584259717971</v>
      </c>
      <c r="N18" s="187"/>
      <c r="O18" s="187"/>
      <c r="P18" s="188">
        <v>13</v>
      </c>
      <c r="Q18" s="104">
        <f>[1]pil13!$H$3</f>
        <v>70</v>
      </c>
      <c r="R18" s="104">
        <f>[1]pil13!$H$4</f>
        <v>30</v>
      </c>
      <c r="S18" s="42">
        <f>[3]pil13!$L$5</f>
        <v>12.872830000717872</v>
      </c>
      <c r="T18" s="16">
        <v>1</v>
      </c>
      <c r="U18" s="42">
        <f t="shared" si="1"/>
        <v>12.872830000717872</v>
      </c>
    </row>
    <row r="19" spans="2:28" x14ac:dyDescent="0.25">
      <c r="B19" s="56"/>
      <c r="C19" s="56"/>
      <c r="D19" s="188">
        <v>14</v>
      </c>
      <c r="E19" s="104">
        <f>[1]pil14!$H$3</f>
        <v>30</v>
      </c>
      <c r="F19" s="104">
        <f>[1]pil14!$H$4</f>
        <v>70</v>
      </c>
      <c r="G19" s="42">
        <f>[2]pil14!$L$5</f>
        <v>27.687210523694493</v>
      </c>
      <c r="H19" s="16">
        <v>1</v>
      </c>
      <c r="I19" s="42">
        <f t="shared" si="0"/>
        <v>27.687210523694493</v>
      </c>
      <c r="N19" s="187"/>
      <c r="O19" s="187"/>
      <c r="P19" s="188">
        <v>14</v>
      </c>
      <c r="Q19" s="104">
        <f>[1]pil14!$H$3</f>
        <v>30</v>
      </c>
      <c r="R19" s="104">
        <f>[1]pil14!$H$4</f>
        <v>70</v>
      </c>
      <c r="S19" s="42">
        <f>[3]pil14!$L$5</f>
        <v>5.2630011616209194</v>
      </c>
      <c r="T19" s="16">
        <v>1</v>
      </c>
      <c r="U19" s="42">
        <f t="shared" si="1"/>
        <v>5.2630011616209194</v>
      </c>
    </row>
    <row r="20" spans="2:28" ht="15.75" thickBot="1" x14ac:dyDescent="0.3">
      <c r="B20" s="56"/>
      <c r="C20" s="56"/>
      <c r="D20" s="188">
        <v>15</v>
      </c>
      <c r="E20" s="190">
        <f>[1]pil15!$H$3</f>
        <v>70</v>
      </c>
      <c r="F20" s="190">
        <f>[1]pil15!$H$4</f>
        <v>30</v>
      </c>
      <c r="G20" s="42">
        <f>[2]pil15!$L$5</f>
        <v>49.832407592299866</v>
      </c>
      <c r="H20" s="16">
        <v>1</v>
      </c>
      <c r="I20" s="42">
        <f t="shared" si="0"/>
        <v>49.832407592299866</v>
      </c>
      <c r="N20" s="187"/>
      <c r="O20" s="187"/>
      <c r="P20" s="188">
        <v>15</v>
      </c>
      <c r="Q20" s="190">
        <f>[1]pil15!$H$3</f>
        <v>70</v>
      </c>
      <c r="R20" s="190">
        <f>[1]pil15!$H$4</f>
        <v>30</v>
      </c>
      <c r="S20" s="42">
        <f>[3]pil15!$L$5</f>
        <v>45.829765113892535</v>
      </c>
      <c r="T20" s="16">
        <v>1</v>
      </c>
      <c r="U20" s="42">
        <f t="shared" si="1"/>
        <v>45.829765113892535</v>
      </c>
    </row>
    <row r="21" spans="2:28" x14ac:dyDescent="0.25">
      <c r="B21" s="56"/>
      <c r="C21" s="56"/>
      <c r="D21" s="188">
        <v>16</v>
      </c>
      <c r="E21" s="189">
        <f>[1]pil16!$H$3</f>
        <v>70</v>
      </c>
      <c r="F21" s="189">
        <f>[1]pil16!$H$4</f>
        <v>30</v>
      </c>
      <c r="G21" s="42">
        <f>[2]pil16!$L$5</f>
        <v>49.832407592299866</v>
      </c>
      <c r="H21" s="16">
        <v>1</v>
      </c>
      <c r="I21" s="42">
        <f t="shared" si="0"/>
        <v>49.832407592299866</v>
      </c>
      <c r="N21" s="187"/>
      <c r="O21" s="187"/>
      <c r="P21" s="188">
        <v>16</v>
      </c>
      <c r="Q21" s="189">
        <f>[1]pil16!$H$3</f>
        <v>70</v>
      </c>
      <c r="R21" s="189">
        <f>[1]pil16!$H$4</f>
        <v>30</v>
      </c>
      <c r="S21" s="42">
        <f>[3]pil16!$L$5</f>
        <v>45.829765113892535</v>
      </c>
      <c r="T21" s="16">
        <v>1</v>
      </c>
      <c r="U21" s="42">
        <f t="shared" si="1"/>
        <v>45.829765113892535</v>
      </c>
    </row>
    <row r="22" spans="2:28" x14ac:dyDescent="0.25">
      <c r="B22" s="56"/>
      <c r="C22" s="56"/>
      <c r="D22" s="188">
        <v>17</v>
      </c>
      <c r="E22" s="104">
        <f>[1]pil17!$H$3</f>
        <v>30</v>
      </c>
      <c r="F22" s="104">
        <f>[1]pil17!$H$4</f>
        <v>70</v>
      </c>
      <c r="G22" s="42">
        <f>[2]pil17!$L$5</f>
        <v>86.002908803345989</v>
      </c>
      <c r="H22" s="16">
        <v>1</v>
      </c>
      <c r="I22" s="42">
        <f t="shared" si="0"/>
        <v>86.002908803345989</v>
      </c>
      <c r="N22" s="187"/>
      <c r="O22" s="187"/>
      <c r="P22" s="188">
        <v>17</v>
      </c>
      <c r="Q22" s="104">
        <f>[1]pil17!$H$3</f>
        <v>30</v>
      </c>
      <c r="R22" s="104">
        <f>[1]pil17!$H$4</f>
        <v>70</v>
      </c>
      <c r="S22" s="42">
        <f>[3]pil17!$L$5</f>
        <v>31.757573734756122</v>
      </c>
      <c r="T22" s="16">
        <v>1</v>
      </c>
      <c r="U22" s="42">
        <f t="shared" si="1"/>
        <v>31.757573734756122</v>
      </c>
    </row>
    <row r="23" spans="2:28" x14ac:dyDescent="0.25">
      <c r="B23" s="56"/>
      <c r="C23" s="56"/>
      <c r="D23" s="188">
        <v>18</v>
      </c>
      <c r="E23" s="104">
        <f>[1]pil18!$H$3</f>
        <v>30</v>
      </c>
      <c r="F23" s="104">
        <f>[1]pil18!$H$4</f>
        <v>70</v>
      </c>
      <c r="G23" s="42">
        <f>[2]pil18!$L$5</f>
        <v>47.829608363124017</v>
      </c>
      <c r="H23" s="16">
        <v>1</v>
      </c>
      <c r="I23" s="42">
        <f t="shared" si="0"/>
        <v>47.829608363124017</v>
      </c>
      <c r="N23" s="187"/>
      <c r="O23" s="187"/>
      <c r="P23" s="188">
        <v>18</v>
      </c>
      <c r="Q23" s="104">
        <f>[1]pil18!$H$3</f>
        <v>30</v>
      </c>
      <c r="R23" s="104">
        <f>[1]pil18!$H$4</f>
        <v>70</v>
      </c>
      <c r="S23" s="42">
        <f>[3]pil18!$L$5</f>
        <v>31.757573734756122</v>
      </c>
      <c r="T23" s="16">
        <v>1</v>
      </c>
      <c r="U23" s="42">
        <f t="shared" si="1"/>
        <v>31.757573734756122</v>
      </c>
    </row>
    <row r="24" spans="2:28" ht="15.75" thickBot="1" x14ac:dyDescent="0.3">
      <c r="H24" s="29">
        <f>SUM(H6:H23)</f>
        <v>18</v>
      </c>
      <c r="I24" s="42">
        <f>SUM(G6:G23)</f>
        <v>559.04493564493828</v>
      </c>
      <c r="T24" s="29">
        <f>SUM(T6:T23)</f>
        <v>18</v>
      </c>
      <c r="U24" s="42">
        <f>SUM(S6:S23)</f>
        <v>406.9218206380641</v>
      </c>
    </row>
    <row r="26" spans="2:28" ht="15.75" thickBot="1" x14ac:dyDescent="0.3"/>
    <row r="27" spans="2:28" ht="15.75" thickBot="1" x14ac:dyDescent="0.3">
      <c r="B27" s="274" t="s">
        <v>216</v>
      </c>
      <c r="C27" s="295"/>
      <c r="D27" s="295"/>
      <c r="E27" s="295"/>
      <c r="F27" s="295"/>
      <c r="G27" s="296"/>
      <c r="N27" s="274" t="s">
        <v>223</v>
      </c>
      <c r="O27" s="295"/>
      <c r="P27" s="295"/>
      <c r="Q27" s="295"/>
      <c r="R27" s="295"/>
      <c r="S27" s="296"/>
      <c r="X27" s="307" t="s">
        <v>244</v>
      </c>
      <c r="Y27" s="307"/>
      <c r="Z27" s="307"/>
      <c r="AA27" s="307"/>
      <c r="AB27" s="307"/>
    </row>
    <row r="28" spans="2:28" x14ac:dyDescent="0.25">
      <c r="B28" s="69"/>
      <c r="C28" s="70"/>
      <c r="D28" s="181" t="s">
        <v>55</v>
      </c>
      <c r="E28" s="182" t="s">
        <v>74</v>
      </c>
      <c r="F28" s="183" t="s">
        <v>213</v>
      </c>
      <c r="G28" s="184" t="s">
        <v>214</v>
      </c>
      <c r="H28" s="185" t="s">
        <v>55</v>
      </c>
      <c r="I28" s="186" t="s">
        <v>215</v>
      </c>
      <c r="N28" s="69"/>
      <c r="O28" s="70"/>
      <c r="P28" s="181" t="s">
        <v>55</v>
      </c>
      <c r="Q28" s="182" t="s">
        <v>74</v>
      </c>
      <c r="R28" s="183" t="s">
        <v>213</v>
      </c>
      <c r="S28" s="184" t="s">
        <v>214</v>
      </c>
      <c r="T28" s="185" t="s">
        <v>55</v>
      </c>
      <c r="U28" s="186" t="s">
        <v>215</v>
      </c>
      <c r="X28" s="42">
        <f>G42</f>
        <v>15.876813353667313</v>
      </c>
      <c r="Y28" s="195">
        <f>G43</f>
        <v>12.273300752045031</v>
      </c>
      <c r="Z28" s="195">
        <f>G44</f>
        <v>12.273300752045031</v>
      </c>
      <c r="AA28" s="195">
        <f>G45</f>
        <v>27.36191489649072</v>
      </c>
      <c r="AB28" s="219">
        <f>G46</f>
        <v>15.876813353667313</v>
      </c>
    </row>
    <row r="29" spans="2:28" x14ac:dyDescent="0.25">
      <c r="B29" s="297"/>
      <c r="C29" s="297"/>
      <c r="D29" s="188">
        <v>1</v>
      </c>
      <c r="E29" s="189">
        <f>[1]pil1!$H$3</f>
        <v>30</v>
      </c>
      <c r="F29" s="189">
        <f>[1]pil1!$H$4</f>
        <v>70</v>
      </c>
      <c r="G29" s="42">
        <f>[1]pil1!$L$5</f>
        <v>15.876813353667313</v>
      </c>
      <c r="H29" s="16">
        <v>1</v>
      </c>
      <c r="I29" s="42">
        <f>G29*H29</f>
        <v>15.876813353667313</v>
      </c>
      <c r="N29" s="297"/>
      <c r="O29" s="297"/>
      <c r="P29" s="188">
        <v>1</v>
      </c>
      <c r="Q29" s="189">
        <f>[1]pil1!$H$3</f>
        <v>30</v>
      </c>
      <c r="R29" s="189">
        <f>[1]pil1!$H$4</f>
        <v>70</v>
      </c>
      <c r="S29" s="42">
        <f>[4]pil1!$L$5</f>
        <v>1.6186402485426059</v>
      </c>
      <c r="T29" s="16">
        <v>1</v>
      </c>
      <c r="U29" s="42">
        <f>S29*T29</f>
        <v>1.6186402485426059</v>
      </c>
      <c r="X29" s="42">
        <f>I37</f>
        <v>9.2665132321689434</v>
      </c>
      <c r="Y29" s="195">
        <f>G38</f>
        <v>12.273300752045031</v>
      </c>
      <c r="Z29" s="195">
        <f>G39</f>
        <v>27.36191489649072</v>
      </c>
      <c r="AA29" s="195">
        <f>G40</f>
        <v>9.6927244182843317</v>
      </c>
      <c r="AB29" s="42">
        <f>G41</f>
        <v>1.691064490631375</v>
      </c>
    </row>
    <row r="30" spans="2:28" x14ac:dyDescent="0.25">
      <c r="B30" s="297"/>
      <c r="C30" s="297"/>
      <c r="D30" s="188">
        <v>2</v>
      </c>
      <c r="E30" s="104">
        <f>[1]pil2!$H$3</f>
        <v>70</v>
      </c>
      <c r="F30" s="104">
        <f>[1]pil2!$H$4</f>
        <v>30</v>
      </c>
      <c r="G30" s="42">
        <f>[1]pil2!$L$5</f>
        <v>12.273300752045031</v>
      </c>
      <c r="H30" s="16">
        <v>1</v>
      </c>
      <c r="I30" s="42">
        <f t="shared" ref="I30:I46" si="2">G30*H30</f>
        <v>12.273300752045031</v>
      </c>
      <c r="N30" s="297"/>
      <c r="O30" s="297"/>
      <c r="P30" s="188">
        <v>2</v>
      </c>
      <c r="Q30" s="104">
        <f>[1]pil2!$H$3</f>
        <v>70</v>
      </c>
      <c r="R30" s="104">
        <f>[1]pil2!$H$4</f>
        <v>30</v>
      </c>
      <c r="S30" s="42">
        <f>[4]pil2!$L$5</f>
        <v>15.245391426669757</v>
      </c>
      <c r="T30" s="16">
        <v>1</v>
      </c>
      <c r="U30" s="42">
        <f t="shared" ref="U30:U46" si="3">S30*T30</f>
        <v>15.245391426669757</v>
      </c>
      <c r="X30" s="60">
        <f>I32</f>
        <v>9.2665132321689434</v>
      </c>
      <c r="Y30" s="218">
        <f>I33</f>
        <v>12.273300752045031</v>
      </c>
      <c r="Z30" s="218">
        <f>I34</f>
        <v>27.36191489649072</v>
      </c>
      <c r="AA30" s="218">
        <f>I35</f>
        <v>27.36191489649072</v>
      </c>
      <c r="AB30" s="60">
        <f>I36</f>
        <v>15.876813353667313</v>
      </c>
    </row>
    <row r="31" spans="2:28" x14ac:dyDescent="0.25">
      <c r="B31" s="56"/>
      <c r="C31" s="56"/>
      <c r="D31" s="188">
        <v>3</v>
      </c>
      <c r="E31" s="104">
        <f>[1]pil3!$H$3</f>
        <v>30</v>
      </c>
      <c r="F31" s="104">
        <f>[1]pil3!$H$4</f>
        <v>70</v>
      </c>
      <c r="G31" s="42">
        <f>[1]pil3!$L$5</f>
        <v>15.876813353667313</v>
      </c>
      <c r="H31" s="16">
        <v>1</v>
      </c>
      <c r="I31" s="42">
        <f t="shared" si="2"/>
        <v>15.876813353667313</v>
      </c>
      <c r="N31" s="187"/>
      <c r="O31" s="187"/>
      <c r="P31" s="188">
        <v>3</v>
      </c>
      <c r="Q31" s="104">
        <f>[1]pil3!$H$3</f>
        <v>30</v>
      </c>
      <c r="R31" s="104">
        <f>[1]pil3!$H$4</f>
        <v>70</v>
      </c>
      <c r="S31" s="42">
        <f>[4]pil3!$L$5</f>
        <v>9.2665132321689434</v>
      </c>
      <c r="T31" s="16">
        <v>1</v>
      </c>
      <c r="U31" s="42">
        <f t="shared" si="3"/>
        <v>9.2665132321689434</v>
      </c>
      <c r="X31" s="60">
        <f>I29</f>
        <v>15.876813353667313</v>
      </c>
      <c r="Y31" s="218">
        <f>I30</f>
        <v>12.273300752045031</v>
      </c>
      <c r="Z31" s="218">
        <f>I31</f>
        <v>15.876813353667313</v>
      </c>
    </row>
    <row r="32" spans="2:28" x14ac:dyDescent="0.25">
      <c r="B32" s="56"/>
      <c r="C32" s="56"/>
      <c r="D32" s="188">
        <v>4</v>
      </c>
      <c r="E32" s="104">
        <f>[1]pil4!$H$3</f>
        <v>70</v>
      </c>
      <c r="F32" s="104">
        <f>[1]pil4!$H$4</f>
        <v>30</v>
      </c>
      <c r="G32" s="42">
        <f>[1]pil4!$L$5</f>
        <v>9.2665132321689434</v>
      </c>
      <c r="H32" s="16">
        <v>1</v>
      </c>
      <c r="I32" s="42">
        <f t="shared" si="2"/>
        <v>9.2665132321689434</v>
      </c>
      <c r="N32" s="187"/>
      <c r="O32" s="187"/>
      <c r="P32" s="188">
        <v>4</v>
      </c>
      <c r="Q32" s="104">
        <f>[1]pil4!$H$3</f>
        <v>70</v>
      </c>
      <c r="R32" s="104">
        <f>[1]pil4!$H$4</f>
        <v>30</v>
      </c>
      <c r="S32" s="42">
        <f>[4]pil4!$L$5</f>
        <v>16.497786663627085</v>
      </c>
      <c r="T32" s="16">
        <v>1</v>
      </c>
      <c r="U32" s="42">
        <f t="shared" si="3"/>
        <v>16.497786663627085</v>
      </c>
    </row>
    <row r="33" spans="2:28" ht="15.75" thickBot="1" x14ac:dyDescent="0.3">
      <c r="B33" s="56"/>
      <c r="C33" s="56"/>
      <c r="D33" s="188">
        <v>5</v>
      </c>
      <c r="E33" s="190">
        <f>[1]pil5!$H$3</f>
        <v>70</v>
      </c>
      <c r="F33" s="190">
        <f>[1]pil5!$H$4</f>
        <v>30</v>
      </c>
      <c r="G33" s="42">
        <f>[1]pil5!$L$5</f>
        <v>12.273300752045031</v>
      </c>
      <c r="H33" s="16">
        <v>1</v>
      </c>
      <c r="I33" s="42">
        <f t="shared" si="2"/>
        <v>12.273300752045031</v>
      </c>
      <c r="N33" s="187"/>
      <c r="O33" s="187"/>
      <c r="P33" s="188">
        <v>5</v>
      </c>
      <c r="Q33" s="190">
        <f>[1]pil5!$H$3</f>
        <v>70</v>
      </c>
      <c r="R33" s="190">
        <f>[1]pil5!$H$4</f>
        <v>30</v>
      </c>
      <c r="S33" s="42">
        <f>[4]pil5!$L$5</f>
        <v>26.419045885996468</v>
      </c>
      <c r="T33" s="16">
        <v>1</v>
      </c>
      <c r="U33" s="42">
        <f t="shared" si="3"/>
        <v>26.419045885996468</v>
      </c>
    </row>
    <row r="34" spans="2:28" x14ac:dyDescent="0.25">
      <c r="B34" s="56"/>
      <c r="C34" s="56"/>
      <c r="D34" s="188">
        <v>6</v>
      </c>
      <c r="E34" s="189">
        <f>[1]pil6!$H$3</f>
        <v>30</v>
      </c>
      <c r="F34" s="189">
        <f>[1]pil6!$H$4</f>
        <v>70</v>
      </c>
      <c r="G34" s="42">
        <f>[1]pil6!$L$5</f>
        <v>27.36191489649072</v>
      </c>
      <c r="H34" s="16">
        <v>1</v>
      </c>
      <c r="I34" s="42">
        <f t="shared" si="2"/>
        <v>27.36191489649072</v>
      </c>
      <c r="N34" s="187"/>
      <c r="O34" s="187"/>
      <c r="P34" s="188">
        <v>6</v>
      </c>
      <c r="Q34" s="189">
        <f>[1]pil6!$H$3</f>
        <v>30</v>
      </c>
      <c r="R34" s="189">
        <f>[1]pil6!$H$4</f>
        <v>70</v>
      </c>
      <c r="S34" s="42">
        <f>[4]pil6!$L$5</f>
        <v>12.079920028568953</v>
      </c>
      <c r="T34" s="16">
        <v>1</v>
      </c>
      <c r="U34" s="42">
        <f t="shared" si="3"/>
        <v>12.079920028568953</v>
      </c>
      <c r="X34" s="307" t="s">
        <v>245</v>
      </c>
      <c r="Y34" s="307"/>
      <c r="Z34" s="307"/>
      <c r="AA34" s="307"/>
      <c r="AB34" s="307"/>
    </row>
    <row r="35" spans="2:28" x14ac:dyDescent="0.25">
      <c r="B35" s="56"/>
      <c r="C35" s="56"/>
      <c r="D35" s="188">
        <v>7</v>
      </c>
      <c r="E35" s="104">
        <f>[1]pil7!$H$3</f>
        <v>30</v>
      </c>
      <c r="F35" s="104">
        <f>[1]pil7!$H$4</f>
        <v>70</v>
      </c>
      <c r="G35" s="42">
        <f>[1]pil7!$L$5</f>
        <v>27.36191489649072</v>
      </c>
      <c r="H35" s="16">
        <v>1</v>
      </c>
      <c r="I35" s="42">
        <f t="shared" si="2"/>
        <v>27.36191489649072</v>
      </c>
      <c r="N35" s="187"/>
      <c r="O35" s="187"/>
      <c r="P35" s="188">
        <v>7</v>
      </c>
      <c r="Q35" s="104">
        <f>[1]pil7!$H$3</f>
        <v>30</v>
      </c>
      <c r="R35" s="104">
        <f>[1]pil7!$H$4</f>
        <v>70</v>
      </c>
      <c r="S35" s="42">
        <f>[4]pil7!$L$5</f>
        <v>9.0477990046686543</v>
      </c>
      <c r="T35" s="16">
        <v>1</v>
      </c>
      <c r="U35" s="42">
        <f t="shared" si="3"/>
        <v>9.0477990046686543</v>
      </c>
      <c r="X35" s="42">
        <f>S42</f>
        <v>1.6186402485426059</v>
      </c>
      <c r="Y35" s="195">
        <f>S43</f>
        <v>15.245391426669757</v>
      </c>
      <c r="Z35" s="195">
        <f>S44</f>
        <v>15.245391426669757</v>
      </c>
      <c r="AA35" s="195">
        <f>S45</f>
        <v>9.0477990046686543</v>
      </c>
      <c r="AB35" s="219">
        <f>S46</f>
        <v>9.0477990046686543</v>
      </c>
    </row>
    <row r="36" spans="2:28" x14ac:dyDescent="0.25">
      <c r="B36" s="56"/>
      <c r="C36" s="56"/>
      <c r="D36" s="188">
        <v>8</v>
      </c>
      <c r="E36" s="104">
        <f>[1]pil8!$H$3</f>
        <v>30</v>
      </c>
      <c r="F36" s="104">
        <f>[1]pil8!$H$4</f>
        <v>70</v>
      </c>
      <c r="G36" s="42">
        <f>[1]pil8!$L$5</f>
        <v>15.876813353667313</v>
      </c>
      <c r="H36" s="16">
        <v>1</v>
      </c>
      <c r="I36" s="42">
        <f t="shared" si="2"/>
        <v>15.876813353667313</v>
      </c>
      <c r="N36" s="187"/>
      <c r="O36" s="187"/>
      <c r="P36" s="188">
        <v>8</v>
      </c>
      <c r="Q36" s="104">
        <f>[1]pil8!$H$3</f>
        <v>30</v>
      </c>
      <c r="R36" s="104">
        <f>[1]pil8!$H$4</f>
        <v>70</v>
      </c>
      <c r="S36" s="42">
        <f>[4]pil8!$L$5</f>
        <v>9.0477990046686543</v>
      </c>
      <c r="T36" s="16">
        <v>1</v>
      </c>
      <c r="U36" s="42">
        <f t="shared" si="3"/>
        <v>9.0477990046686543</v>
      </c>
      <c r="X36" s="42">
        <f>S37</f>
        <v>16.497786663627085</v>
      </c>
      <c r="Y36" s="195">
        <f>S38</f>
        <v>26.419045885996468</v>
      </c>
      <c r="Z36" s="195">
        <f>S39</f>
        <v>12.079920028568953</v>
      </c>
      <c r="AA36" s="195">
        <f>S40</f>
        <v>26.419045885996468</v>
      </c>
      <c r="AB36" s="42">
        <f>S41</f>
        <v>26.419045885996468</v>
      </c>
    </row>
    <row r="37" spans="2:28" x14ac:dyDescent="0.25">
      <c r="B37" s="56"/>
      <c r="C37" s="56"/>
      <c r="D37" s="188">
        <v>9</v>
      </c>
      <c r="E37" s="104">
        <f>[1]pil9!$H$3</f>
        <v>70</v>
      </c>
      <c r="F37" s="104">
        <f>[1]pil9!$H$4</f>
        <v>30</v>
      </c>
      <c r="G37" s="42">
        <f>[1]pil9!$L$5</f>
        <v>9.2665132321689434</v>
      </c>
      <c r="H37" s="16">
        <v>1</v>
      </c>
      <c r="I37" s="42">
        <f t="shared" si="2"/>
        <v>9.2665132321689434</v>
      </c>
      <c r="N37" s="187"/>
      <c r="O37" s="187"/>
      <c r="P37" s="188">
        <v>9</v>
      </c>
      <c r="Q37" s="104">
        <f>[1]pil9!$H$3</f>
        <v>70</v>
      </c>
      <c r="R37" s="104">
        <f>[1]pil9!$H$4</f>
        <v>30</v>
      </c>
      <c r="S37" s="42">
        <f>[4]pil9!$L$5</f>
        <v>16.497786663627085</v>
      </c>
      <c r="T37" s="16">
        <v>1</v>
      </c>
      <c r="U37" s="42">
        <f t="shared" si="3"/>
        <v>16.497786663627085</v>
      </c>
      <c r="X37" s="60">
        <f>S32</f>
        <v>16.497786663627085</v>
      </c>
      <c r="Y37" s="218">
        <f>S33</f>
        <v>26.419045885996468</v>
      </c>
      <c r="Z37" s="218">
        <f>S34</f>
        <v>12.079920028568953</v>
      </c>
      <c r="AA37" s="218">
        <f>S35</f>
        <v>9.0477990046686543</v>
      </c>
      <c r="AB37" s="60">
        <f>S36</f>
        <v>9.0477990046686543</v>
      </c>
    </row>
    <row r="38" spans="2:28" ht="15.75" thickBot="1" x14ac:dyDescent="0.3">
      <c r="B38" s="56"/>
      <c r="C38" s="56"/>
      <c r="D38" s="188">
        <v>10</v>
      </c>
      <c r="E38" s="190">
        <f>[1]pil10!$H$3</f>
        <v>70</v>
      </c>
      <c r="F38" s="190">
        <f>[1]pil10!$H$4</f>
        <v>30</v>
      </c>
      <c r="G38" s="42">
        <f>[1]pil10!$L$5</f>
        <v>12.273300752045031</v>
      </c>
      <c r="H38" s="16">
        <v>1</v>
      </c>
      <c r="I38" s="42">
        <f t="shared" si="2"/>
        <v>12.273300752045031</v>
      </c>
      <c r="N38" s="187"/>
      <c r="O38" s="187"/>
      <c r="P38" s="188">
        <v>10</v>
      </c>
      <c r="Q38" s="190">
        <f>[1]pil10!$H$3</f>
        <v>70</v>
      </c>
      <c r="R38" s="190">
        <f>[1]pil10!$H$4</f>
        <v>30</v>
      </c>
      <c r="S38" s="42">
        <f>[4]pil10!$L$5</f>
        <v>26.419045885996468</v>
      </c>
      <c r="T38" s="16">
        <v>1</v>
      </c>
      <c r="U38" s="42">
        <f t="shared" si="3"/>
        <v>26.419045885996468</v>
      </c>
      <c r="X38" s="60">
        <f>S29</f>
        <v>1.6186402485426059</v>
      </c>
      <c r="Y38" s="218">
        <f>S30</f>
        <v>15.245391426669757</v>
      </c>
      <c r="Z38" s="218">
        <f>S31</f>
        <v>9.2665132321689434</v>
      </c>
    </row>
    <row r="39" spans="2:28" x14ac:dyDescent="0.25">
      <c r="B39" s="56"/>
      <c r="C39" s="56"/>
      <c r="D39" s="188">
        <v>11</v>
      </c>
      <c r="E39" s="189">
        <f>[1]pil11!$H$3</f>
        <v>30</v>
      </c>
      <c r="F39" s="189">
        <f>[1]pil11!$H$4</f>
        <v>70</v>
      </c>
      <c r="G39" s="42">
        <f>[1]pil11!$L$5</f>
        <v>27.36191489649072</v>
      </c>
      <c r="H39" s="16">
        <v>1</v>
      </c>
      <c r="I39" s="42">
        <f t="shared" si="2"/>
        <v>27.36191489649072</v>
      </c>
      <c r="N39" s="187"/>
      <c r="O39" s="187"/>
      <c r="P39" s="188">
        <v>11</v>
      </c>
      <c r="Q39" s="189">
        <f>[1]pil11!$H$3</f>
        <v>30</v>
      </c>
      <c r="R39" s="189">
        <f>[1]pil11!$H$4</f>
        <v>70</v>
      </c>
      <c r="S39" s="42">
        <f>[4]pil11!$L$5</f>
        <v>12.079920028568953</v>
      </c>
      <c r="T39" s="16">
        <v>1</v>
      </c>
      <c r="U39" s="42">
        <f t="shared" si="3"/>
        <v>12.079920028568953</v>
      </c>
    </row>
    <row r="40" spans="2:28" x14ac:dyDescent="0.25">
      <c r="B40" s="56"/>
      <c r="C40" s="56"/>
      <c r="D40" s="188">
        <v>12</v>
      </c>
      <c r="E40" s="104">
        <f>[1]pil12!$H$3</f>
        <v>70</v>
      </c>
      <c r="F40" s="104">
        <f>[1]pil12!$H$4</f>
        <v>30</v>
      </c>
      <c r="G40" s="42">
        <f>[1]pil12!$L$5</f>
        <v>9.6927244182843317</v>
      </c>
      <c r="H40" s="16">
        <v>1</v>
      </c>
      <c r="I40" s="42">
        <f t="shared" si="2"/>
        <v>9.6927244182843317</v>
      </c>
      <c r="N40" s="187"/>
      <c r="O40" s="187"/>
      <c r="P40" s="188">
        <v>12</v>
      </c>
      <c r="Q40" s="104">
        <f>[1]pil12!$H$3</f>
        <v>70</v>
      </c>
      <c r="R40" s="104">
        <f>[1]pil12!$H$4</f>
        <v>30</v>
      </c>
      <c r="S40" s="42">
        <f>[4]pil12!$L$5</f>
        <v>26.419045885996468</v>
      </c>
      <c r="T40" s="16">
        <v>1</v>
      </c>
      <c r="U40" s="42">
        <f t="shared" si="3"/>
        <v>26.419045885996468</v>
      </c>
    </row>
    <row r="41" spans="2:28" x14ac:dyDescent="0.25">
      <c r="B41" s="56"/>
      <c r="C41" s="56"/>
      <c r="D41" s="188">
        <v>13</v>
      </c>
      <c r="E41" s="104">
        <f>[1]pil13!$H$3</f>
        <v>70</v>
      </c>
      <c r="F41" s="104">
        <f>[1]pil13!$H$4</f>
        <v>30</v>
      </c>
      <c r="G41" s="42">
        <f>[1]pil13!$L$5</f>
        <v>1.691064490631375</v>
      </c>
      <c r="H41" s="16">
        <v>1</v>
      </c>
      <c r="I41" s="42">
        <f t="shared" si="2"/>
        <v>1.691064490631375</v>
      </c>
      <c r="N41" s="187"/>
      <c r="O41" s="187"/>
      <c r="P41" s="188">
        <v>13</v>
      </c>
      <c r="Q41" s="104">
        <f>[1]pil13!$H$3</f>
        <v>70</v>
      </c>
      <c r="R41" s="104">
        <f>[1]pil13!$H$4</f>
        <v>30</v>
      </c>
      <c r="S41" s="42">
        <f>[4]pil13!$L$5</f>
        <v>26.419045885996468</v>
      </c>
      <c r="T41" s="16">
        <v>1</v>
      </c>
      <c r="U41" s="42">
        <f t="shared" si="3"/>
        <v>26.419045885996468</v>
      </c>
    </row>
    <row r="42" spans="2:28" x14ac:dyDescent="0.25">
      <c r="B42" s="56"/>
      <c r="C42" s="56"/>
      <c r="D42" s="188">
        <v>14</v>
      </c>
      <c r="E42" s="104">
        <f>[1]pil14!$H$3</f>
        <v>30</v>
      </c>
      <c r="F42" s="104">
        <f>[1]pil14!$H$4</f>
        <v>70</v>
      </c>
      <c r="G42" s="42">
        <f>[1]pil14!$L$5</f>
        <v>15.876813353667313</v>
      </c>
      <c r="H42" s="16">
        <v>1</v>
      </c>
      <c r="I42" s="42">
        <f t="shared" si="2"/>
        <v>15.876813353667313</v>
      </c>
      <c r="N42" s="187"/>
      <c r="O42" s="187"/>
      <c r="P42" s="188">
        <v>14</v>
      </c>
      <c r="Q42" s="104">
        <f>[1]pil14!$H$3</f>
        <v>30</v>
      </c>
      <c r="R42" s="104">
        <f>[1]pil14!$H$4</f>
        <v>70</v>
      </c>
      <c r="S42" s="42">
        <f>[4]pil14!$L$5</f>
        <v>1.6186402485426059</v>
      </c>
      <c r="T42" s="16">
        <v>1</v>
      </c>
      <c r="U42" s="42">
        <f t="shared" si="3"/>
        <v>1.6186402485426059</v>
      </c>
    </row>
    <row r="43" spans="2:28" ht="15.75" thickBot="1" x14ac:dyDescent="0.3">
      <c r="B43" s="56"/>
      <c r="C43" s="56"/>
      <c r="D43" s="188">
        <v>15</v>
      </c>
      <c r="E43" s="190">
        <f>[1]pil15!$H$3</f>
        <v>70</v>
      </c>
      <c r="F43" s="190">
        <f>[1]pil15!$H$4</f>
        <v>30</v>
      </c>
      <c r="G43" s="42">
        <f>[1]pil15!$L$5</f>
        <v>12.273300752045031</v>
      </c>
      <c r="H43" s="16">
        <v>1</v>
      </c>
      <c r="I43" s="42">
        <f t="shared" si="2"/>
        <v>12.273300752045031</v>
      </c>
      <c r="N43" s="187"/>
      <c r="O43" s="187"/>
      <c r="P43" s="188">
        <v>15</v>
      </c>
      <c r="Q43" s="190">
        <f>[1]pil15!$H$3</f>
        <v>70</v>
      </c>
      <c r="R43" s="190">
        <f>[1]pil15!$H$4</f>
        <v>30</v>
      </c>
      <c r="S43" s="42">
        <f>[4]pil15!$L$5</f>
        <v>15.245391426669757</v>
      </c>
      <c r="T43" s="16">
        <v>1</v>
      </c>
      <c r="U43" s="42">
        <f t="shared" si="3"/>
        <v>15.245391426669757</v>
      </c>
    </row>
    <row r="44" spans="2:28" x14ac:dyDescent="0.25">
      <c r="B44" s="56"/>
      <c r="C44" s="56"/>
      <c r="D44" s="188">
        <v>16</v>
      </c>
      <c r="E44" s="189">
        <f>[1]pil16!$H$3</f>
        <v>70</v>
      </c>
      <c r="F44" s="189">
        <f>[1]pil16!$H$4</f>
        <v>30</v>
      </c>
      <c r="G44" s="42">
        <f>[1]pil16!$L$5</f>
        <v>12.273300752045031</v>
      </c>
      <c r="H44" s="16">
        <v>1</v>
      </c>
      <c r="I44" s="42">
        <f t="shared" si="2"/>
        <v>12.273300752045031</v>
      </c>
      <c r="N44" s="187"/>
      <c r="O44" s="187"/>
      <c r="P44" s="188">
        <v>16</v>
      </c>
      <c r="Q44" s="189">
        <f>[1]pil16!$H$3</f>
        <v>70</v>
      </c>
      <c r="R44" s="189">
        <f>[1]pil16!$H$4</f>
        <v>30</v>
      </c>
      <c r="S44" s="42">
        <f>[4]pil16!$L$5</f>
        <v>15.245391426669757</v>
      </c>
      <c r="T44" s="16">
        <v>1</v>
      </c>
      <c r="U44" s="42">
        <f t="shared" si="3"/>
        <v>15.245391426669757</v>
      </c>
    </row>
    <row r="45" spans="2:28" x14ac:dyDescent="0.25">
      <c r="B45" s="56"/>
      <c r="C45" s="56"/>
      <c r="D45" s="188">
        <v>17</v>
      </c>
      <c r="E45" s="104">
        <f>[1]pil17!$H$3</f>
        <v>30</v>
      </c>
      <c r="F45" s="104">
        <f>[1]pil17!$H$4</f>
        <v>70</v>
      </c>
      <c r="G45" s="42">
        <f>[1]pil17!$L$5</f>
        <v>27.36191489649072</v>
      </c>
      <c r="H45" s="16">
        <v>1</v>
      </c>
      <c r="I45" s="42">
        <f t="shared" si="2"/>
        <v>27.36191489649072</v>
      </c>
      <c r="N45" s="187"/>
      <c r="O45" s="187"/>
      <c r="P45" s="188">
        <v>17</v>
      </c>
      <c r="Q45" s="104">
        <f>[1]pil17!$H$3</f>
        <v>30</v>
      </c>
      <c r="R45" s="104">
        <f>[1]pil17!$H$4</f>
        <v>70</v>
      </c>
      <c r="S45" s="42">
        <f>[4]pil17!$L$5</f>
        <v>9.0477990046686543</v>
      </c>
      <c r="T45" s="16">
        <v>1</v>
      </c>
      <c r="U45" s="42">
        <f t="shared" si="3"/>
        <v>9.0477990046686543</v>
      </c>
    </row>
    <row r="46" spans="2:28" x14ac:dyDescent="0.25">
      <c r="B46" s="56"/>
      <c r="C46" s="56"/>
      <c r="D46" s="188">
        <v>18</v>
      </c>
      <c r="E46" s="104">
        <f>[1]pil18!$H$3</f>
        <v>30</v>
      </c>
      <c r="F46" s="104">
        <f>[1]pil18!$H$4</f>
        <v>70</v>
      </c>
      <c r="G46" s="42">
        <f>[1]pil18!$L$5</f>
        <v>15.876813353667313</v>
      </c>
      <c r="H46" s="16">
        <v>1</v>
      </c>
      <c r="I46" s="42">
        <f t="shared" si="2"/>
        <v>15.876813353667313</v>
      </c>
      <c r="N46" s="187"/>
      <c r="O46" s="187"/>
      <c r="P46" s="188">
        <v>18</v>
      </c>
      <c r="Q46" s="104">
        <f>[1]pil18!$H$3</f>
        <v>30</v>
      </c>
      <c r="R46" s="104">
        <f>[1]pil18!$H$4</f>
        <v>70</v>
      </c>
      <c r="S46" s="42">
        <f>[4]pil18!$L$5</f>
        <v>9.0477990046686543</v>
      </c>
      <c r="T46" s="16">
        <v>1</v>
      </c>
      <c r="U46" s="42">
        <f t="shared" si="3"/>
        <v>9.0477990046686543</v>
      </c>
    </row>
    <row r="47" spans="2:28" ht="15.75" thickBot="1" x14ac:dyDescent="0.3">
      <c r="H47" s="29">
        <f>SUM(H29:H46)</f>
        <v>18</v>
      </c>
      <c r="I47" s="42">
        <f>SUM(G29:G46)</f>
        <v>280.11504548777816</v>
      </c>
      <c r="T47" s="29">
        <f>SUM(T29:T46)</f>
        <v>18</v>
      </c>
      <c r="U47" s="42">
        <f>SUM(S29:S46)</f>
        <v>257.26276095631596</v>
      </c>
    </row>
    <row r="49" spans="2:28" ht="15.75" thickBot="1" x14ac:dyDescent="0.3"/>
    <row r="50" spans="2:28" ht="15.75" thickBot="1" x14ac:dyDescent="0.3">
      <c r="B50" s="274" t="s">
        <v>217</v>
      </c>
      <c r="C50" s="295"/>
      <c r="D50" s="295"/>
      <c r="E50" s="295"/>
      <c r="F50" s="295"/>
      <c r="G50" s="275"/>
      <c r="N50" s="274" t="s">
        <v>222</v>
      </c>
      <c r="O50" s="295"/>
      <c r="P50" s="295"/>
      <c r="Q50" s="295"/>
      <c r="R50" s="295"/>
      <c r="S50" s="275"/>
      <c r="X50" s="307" t="s">
        <v>244</v>
      </c>
      <c r="Y50" s="307"/>
      <c r="Z50" s="307"/>
      <c r="AA50" s="307"/>
      <c r="AB50" s="307"/>
    </row>
    <row r="51" spans="2:28" x14ac:dyDescent="0.25">
      <c r="B51" s="69"/>
      <c r="C51" s="70"/>
      <c r="D51" s="181" t="s">
        <v>55</v>
      </c>
      <c r="E51" s="182" t="s">
        <v>74</v>
      </c>
      <c r="F51" s="183" t="s">
        <v>213</v>
      </c>
      <c r="G51" s="184" t="s">
        <v>214</v>
      </c>
      <c r="H51" s="185" t="s">
        <v>55</v>
      </c>
      <c r="I51" s="186" t="s">
        <v>215</v>
      </c>
      <c r="N51" s="69"/>
      <c r="O51" s="70"/>
      <c r="P51" s="181" t="s">
        <v>55</v>
      </c>
      <c r="Q51" s="182" t="s">
        <v>74</v>
      </c>
      <c r="R51" s="183" t="s">
        <v>213</v>
      </c>
      <c r="S51" s="184" t="s">
        <v>214</v>
      </c>
      <c r="T51" s="185" t="s">
        <v>55</v>
      </c>
      <c r="U51" s="186" t="s">
        <v>215</v>
      </c>
      <c r="X51" s="42">
        <f>G65</f>
        <v>19.271243061629978</v>
      </c>
      <c r="Y51" s="195">
        <f>G66</f>
        <v>13.079609944068313</v>
      </c>
      <c r="Z51" s="195">
        <f>G67</f>
        <v>13.89437743568411</v>
      </c>
      <c r="AA51" s="195">
        <f>G68</f>
        <v>32.060671351242647</v>
      </c>
      <c r="AB51" s="219">
        <f>G69</f>
        <v>19.271243061629978</v>
      </c>
    </row>
    <row r="52" spans="2:28" x14ac:dyDescent="0.25">
      <c r="B52" s="293"/>
      <c r="C52" s="294"/>
      <c r="D52" s="188">
        <v>1</v>
      </c>
      <c r="E52" s="189">
        <f>[1]pil1!$H$3</f>
        <v>30</v>
      </c>
      <c r="F52" s="189">
        <f>[1]pil1!$H$4</f>
        <v>70</v>
      </c>
      <c r="G52" s="42">
        <f>[5]pil1!$L$5</f>
        <v>19.271243061629978</v>
      </c>
      <c r="H52" s="16">
        <v>1</v>
      </c>
      <c r="I52" s="42">
        <f>G52*H52</f>
        <v>19.271243061629978</v>
      </c>
      <c r="N52" s="293"/>
      <c r="O52" s="294"/>
      <c r="P52" s="188">
        <v>1</v>
      </c>
      <c r="Q52" s="189">
        <f>[1]pil1!$H$3</f>
        <v>30</v>
      </c>
      <c r="R52" s="189">
        <f>[1]pil1!$H$4</f>
        <v>70</v>
      </c>
      <c r="S52" s="42">
        <f>[6]pil1!$L$5</f>
        <v>1.6186402485426059</v>
      </c>
      <c r="T52" s="16">
        <v>1</v>
      </c>
      <c r="U52" s="42">
        <f>S52*T52</f>
        <v>1.6186402485426059</v>
      </c>
      <c r="X52" s="42">
        <f>I60</f>
        <v>10.238945321661589</v>
      </c>
      <c r="Y52" s="195">
        <f>G61</f>
        <v>13.079609944068313</v>
      </c>
      <c r="Z52" s="195">
        <f>G62</f>
        <v>32.060671351242647</v>
      </c>
      <c r="AA52" s="195">
        <f>G63</f>
        <v>10.589062664704553</v>
      </c>
      <c r="AB52" s="42">
        <f>G64</f>
        <v>1.691064490631375</v>
      </c>
    </row>
    <row r="53" spans="2:28" x14ac:dyDescent="0.25">
      <c r="B53" s="293"/>
      <c r="C53" s="294"/>
      <c r="D53" s="188">
        <v>2</v>
      </c>
      <c r="E53" s="104">
        <f>[1]pil2!$H$3</f>
        <v>70</v>
      </c>
      <c r="F53" s="104">
        <f>[1]pil2!$H$4</f>
        <v>30</v>
      </c>
      <c r="G53" s="42">
        <f>[5]pil2!$L$5</f>
        <v>13.079609944068313</v>
      </c>
      <c r="H53" s="16">
        <v>1</v>
      </c>
      <c r="I53" s="42">
        <f t="shared" ref="I53:I69" si="4">G53*H53</f>
        <v>13.079609944068313</v>
      </c>
      <c r="N53" s="293"/>
      <c r="O53" s="294"/>
      <c r="P53" s="188">
        <v>2</v>
      </c>
      <c r="Q53" s="104">
        <f>[1]pil2!$H$3</f>
        <v>70</v>
      </c>
      <c r="R53" s="104">
        <f>[1]pil2!$H$4</f>
        <v>30</v>
      </c>
      <c r="S53" s="42">
        <f>[6]pil2!$L$5</f>
        <v>18.544280512529447</v>
      </c>
      <c r="T53" s="16">
        <v>1</v>
      </c>
      <c r="U53" s="42">
        <f t="shared" ref="U53:U69" si="5">S53*T53</f>
        <v>18.544280512529447</v>
      </c>
      <c r="X53" s="60">
        <f>I55</f>
        <v>10.238945321661589</v>
      </c>
      <c r="Y53" s="218">
        <f>I56</f>
        <v>13.079609944068313</v>
      </c>
      <c r="Z53" s="218">
        <f>I57</f>
        <v>32.060671351242647</v>
      </c>
      <c r="AA53" s="218">
        <f>I58</f>
        <v>32.060671351242647</v>
      </c>
      <c r="AB53" s="60">
        <f>I59</f>
        <v>19.271243061629978</v>
      </c>
    </row>
    <row r="54" spans="2:28" x14ac:dyDescent="0.25">
      <c r="B54" s="187"/>
      <c r="C54" s="187"/>
      <c r="D54" s="188">
        <v>3</v>
      </c>
      <c r="E54" s="104">
        <f>[1]pil3!$H$3</f>
        <v>30</v>
      </c>
      <c r="F54" s="104">
        <f>[1]pil3!$H$4</f>
        <v>70</v>
      </c>
      <c r="G54" s="42">
        <f>[5]pil3!$L$5</f>
        <v>19.271243061629978</v>
      </c>
      <c r="H54" s="16">
        <v>1</v>
      </c>
      <c r="I54" s="42">
        <f t="shared" si="4"/>
        <v>19.271243061629978</v>
      </c>
      <c r="N54" s="187"/>
      <c r="O54" s="187"/>
      <c r="P54" s="188">
        <v>3</v>
      </c>
      <c r="Q54" s="104">
        <f>[1]pil3!$H$3</f>
        <v>30</v>
      </c>
      <c r="R54" s="104">
        <f>[1]pil3!$H$4</f>
        <v>70</v>
      </c>
      <c r="S54" s="42">
        <f>[6]pil3!$L$5</f>
        <v>10.025000766838676</v>
      </c>
      <c r="T54" s="16">
        <v>1</v>
      </c>
      <c r="U54" s="42">
        <f t="shared" si="5"/>
        <v>10.025000766838676</v>
      </c>
      <c r="X54" s="60">
        <f>I52</f>
        <v>19.271243061629978</v>
      </c>
      <c r="Y54" s="218">
        <f>I53</f>
        <v>13.079609944068313</v>
      </c>
      <c r="Z54" s="218">
        <f>I54</f>
        <v>19.271243061629978</v>
      </c>
    </row>
    <row r="55" spans="2:28" x14ac:dyDescent="0.25">
      <c r="B55" s="187"/>
      <c r="C55" s="187"/>
      <c r="D55" s="188">
        <v>4</v>
      </c>
      <c r="E55" s="104">
        <f>[1]pil4!$H$3</f>
        <v>70</v>
      </c>
      <c r="F55" s="104">
        <f>[1]pil4!$H$4</f>
        <v>30</v>
      </c>
      <c r="G55" s="42">
        <f>[5]pil4!$L$5</f>
        <v>10.238945321661589</v>
      </c>
      <c r="H55" s="16">
        <v>1</v>
      </c>
      <c r="I55" s="42">
        <f t="shared" si="4"/>
        <v>10.238945321661589</v>
      </c>
      <c r="N55" s="187"/>
      <c r="O55" s="187"/>
      <c r="P55" s="188">
        <v>4</v>
      </c>
      <c r="Q55" s="104">
        <f>[1]pil4!$H$3</f>
        <v>70</v>
      </c>
      <c r="R55" s="104">
        <f>[1]pil4!$H$4</f>
        <v>30</v>
      </c>
      <c r="S55" s="42">
        <f>[6]pil4!$L$5</f>
        <v>19.71033635643569</v>
      </c>
      <c r="T55" s="16">
        <v>1</v>
      </c>
      <c r="U55" s="42">
        <f t="shared" si="5"/>
        <v>19.71033635643569</v>
      </c>
    </row>
    <row r="56" spans="2:28" ht="15.75" thickBot="1" x14ac:dyDescent="0.3">
      <c r="B56" s="187"/>
      <c r="C56" s="187"/>
      <c r="D56" s="188">
        <v>5</v>
      </c>
      <c r="E56" s="190">
        <f>[1]pil5!$H$3</f>
        <v>70</v>
      </c>
      <c r="F56" s="190">
        <f>[1]pil5!$H$4</f>
        <v>30</v>
      </c>
      <c r="G56" s="42">
        <f>[5]pil5!$L$5</f>
        <v>13.079609944068313</v>
      </c>
      <c r="H56" s="16">
        <v>1</v>
      </c>
      <c r="I56" s="42">
        <f t="shared" si="4"/>
        <v>13.079609944068313</v>
      </c>
      <c r="N56" s="187"/>
      <c r="O56" s="187"/>
      <c r="P56" s="188">
        <v>5</v>
      </c>
      <c r="Q56" s="190">
        <f>[1]pil5!$H$3</f>
        <v>70</v>
      </c>
      <c r="R56" s="190">
        <f>[1]pil5!$H$4</f>
        <v>30</v>
      </c>
      <c r="S56" s="42">
        <f>[6]pil5!$L$5</f>
        <v>31.03928380113317</v>
      </c>
      <c r="T56" s="16">
        <v>1</v>
      </c>
      <c r="U56" s="42">
        <f t="shared" si="5"/>
        <v>31.03928380113317</v>
      </c>
    </row>
    <row r="57" spans="2:28" x14ac:dyDescent="0.25">
      <c r="B57" s="187"/>
      <c r="C57" s="187"/>
      <c r="D57" s="188">
        <v>6</v>
      </c>
      <c r="E57" s="189">
        <f>[1]pil6!$H$3</f>
        <v>30</v>
      </c>
      <c r="F57" s="189">
        <f>[1]pil6!$H$4</f>
        <v>70</v>
      </c>
      <c r="G57" s="42">
        <f>[5]pil6!$L$5</f>
        <v>32.060671351242647</v>
      </c>
      <c r="H57" s="16">
        <v>1</v>
      </c>
      <c r="I57" s="42">
        <f t="shared" si="4"/>
        <v>32.060671351242647</v>
      </c>
      <c r="N57" s="187"/>
      <c r="O57" s="187"/>
      <c r="P57" s="188">
        <v>6</v>
      </c>
      <c r="Q57" s="189">
        <f>[1]pil6!$H$3</f>
        <v>30</v>
      </c>
      <c r="R57" s="189">
        <f>[1]pil6!$H$4</f>
        <v>70</v>
      </c>
      <c r="S57" s="42">
        <f>[6]pil6!$L$5</f>
        <v>12.902299788370408</v>
      </c>
      <c r="T57" s="16">
        <v>1</v>
      </c>
      <c r="U57" s="42">
        <f t="shared" si="5"/>
        <v>12.902299788370408</v>
      </c>
      <c r="X57" s="307" t="s">
        <v>245</v>
      </c>
      <c r="Y57" s="307"/>
      <c r="Z57" s="307"/>
      <c r="AA57" s="307"/>
      <c r="AB57" s="307"/>
    </row>
    <row r="58" spans="2:28" x14ac:dyDescent="0.25">
      <c r="B58" s="187"/>
      <c r="C58" s="187"/>
      <c r="D58" s="188">
        <v>7</v>
      </c>
      <c r="E58" s="104">
        <f>[1]pil7!$H$3</f>
        <v>30</v>
      </c>
      <c r="F58" s="104">
        <f>[1]pil7!$H$4</f>
        <v>70</v>
      </c>
      <c r="G58" s="42">
        <f>[5]pil7!$L$5</f>
        <v>32.060671351242647</v>
      </c>
      <c r="H58" s="16">
        <v>1</v>
      </c>
      <c r="I58" s="42">
        <f t="shared" si="4"/>
        <v>32.060671351242647</v>
      </c>
      <c r="N58" s="187"/>
      <c r="O58" s="187"/>
      <c r="P58" s="188">
        <v>7</v>
      </c>
      <c r="Q58" s="104">
        <f>[1]pil7!$H$3</f>
        <v>30</v>
      </c>
      <c r="R58" s="104">
        <f>[1]pil7!$H$4</f>
        <v>70</v>
      </c>
      <c r="S58" s="42">
        <f>[6]pil7!$L$5</f>
        <v>10.025000766838676</v>
      </c>
      <c r="T58" s="16">
        <v>1</v>
      </c>
      <c r="U58" s="42">
        <f t="shared" si="5"/>
        <v>10.025000766838676</v>
      </c>
      <c r="X58" s="42">
        <f>S65</f>
        <v>1.6186402485426059</v>
      </c>
      <c r="Y58" s="195">
        <f>S66</f>
        <v>18.544280512529447</v>
      </c>
      <c r="Z58" s="195">
        <f>S67</f>
        <v>18.544280512529447</v>
      </c>
      <c r="AA58" s="195">
        <f>S68</f>
        <v>10.025000766838676</v>
      </c>
      <c r="AB58" s="219">
        <f>S69</f>
        <v>10.025000766838676</v>
      </c>
    </row>
    <row r="59" spans="2:28" x14ac:dyDescent="0.25">
      <c r="B59" s="187"/>
      <c r="C59" s="187"/>
      <c r="D59" s="188">
        <v>8</v>
      </c>
      <c r="E59" s="104">
        <f>[1]pil8!$H$3</f>
        <v>30</v>
      </c>
      <c r="F59" s="104">
        <f>[1]pil8!$H$4</f>
        <v>70</v>
      </c>
      <c r="G59" s="42">
        <f>[5]pil8!$L$5</f>
        <v>19.271243061629978</v>
      </c>
      <c r="H59" s="16">
        <v>1</v>
      </c>
      <c r="I59" s="42">
        <f t="shared" si="4"/>
        <v>19.271243061629978</v>
      </c>
      <c r="N59" s="187"/>
      <c r="O59" s="187"/>
      <c r="P59" s="188">
        <v>8</v>
      </c>
      <c r="Q59" s="104">
        <f>[1]pil8!$H$3</f>
        <v>30</v>
      </c>
      <c r="R59" s="104">
        <f>[1]pil8!$H$4</f>
        <v>70</v>
      </c>
      <c r="S59" s="42">
        <f>[6]pil8!$L$5</f>
        <v>10.025000766838676</v>
      </c>
      <c r="T59" s="16">
        <v>1</v>
      </c>
      <c r="U59" s="42">
        <f t="shared" si="5"/>
        <v>10.025000766838676</v>
      </c>
      <c r="X59" s="42">
        <f>S60</f>
        <v>19.71033635643569</v>
      </c>
      <c r="Y59" s="195">
        <f>S61</f>
        <v>31.03928380113317</v>
      </c>
      <c r="Z59" s="195">
        <f>S62</f>
        <v>12.902299788370408</v>
      </c>
      <c r="AA59" s="195">
        <f>S63</f>
        <v>31.03928380113317</v>
      </c>
      <c r="AB59" s="42">
        <f>S64</f>
        <v>31.03928380113317</v>
      </c>
    </row>
    <row r="60" spans="2:28" x14ac:dyDescent="0.25">
      <c r="B60" s="187"/>
      <c r="C60" s="187"/>
      <c r="D60" s="188">
        <v>9</v>
      </c>
      <c r="E60" s="104">
        <f>[1]pil9!$H$3</f>
        <v>70</v>
      </c>
      <c r="F60" s="104">
        <f>[1]pil9!$H$4</f>
        <v>30</v>
      </c>
      <c r="G60" s="42">
        <f>[5]pil9!$L$5</f>
        <v>10.238945321661589</v>
      </c>
      <c r="H60" s="16">
        <v>1</v>
      </c>
      <c r="I60" s="42">
        <f t="shared" si="4"/>
        <v>10.238945321661589</v>
      </c>
      <c r="N60" s="187"/>
      <c r="O60" s="187"/>
      <c r="P60" s="188">
        <v>9</v>
      </c>
      <c r="Q60" s="104">
        <f>[1]pil9!$H$3</f>
        <v>70</v>
      </c>
      <c r="R60" s="104">
        <f>[1]pil9!$H$4</f>
        <v>30</v>
      </c>
      <c r="S60" s="42">
        <f>[6]pil9!$L$5</f>
        <v>19.71033635643569</v>
      </c>
      <c r="T60" s="16">
        <v>1</v>
      </c>
      <c r="U60" s="42">
        <f t="shared" si="5"/>
        <v>19.71033635643569</v>
      </c>
      <c r="X60" s="60">
        <f>S55</f>
        <v>19.71033635643569</v>
      </c>
      <c r="Y60" s="218">
        <f>S56</f>
        <v>31.03928380113317</v>
      </c>
      <c r="Z60" s="218">
        <f>S57</f>
        <v>12.902299788370408</v>
      </c>
      <c r="AA60" s="218">
        <f>S58</f>
        <v>10.025000766838676</v>
      </c>
      <c r="AB60" s="60">
        <f>S59</f>
        <v>10.025000766838676</v>
      </c>
    </row>
    <row r="61" spans="2:28" ht="15.75" thickBot="1" x14ac:dyDescent="0.3">
      <c r="B61" s="187"/>
      <c r="C61" s="187"/>
      <c r="D61" s="188">
        <v>10</v>
      </c>
      <c r="E61" s="190">
        <f>[1]pil10!$H$3</f>
        <v>70</v>
      </c>
      <c r="F61" s="190">
        <f>[1]pil10!$H$4</f>
        <v>30</v>
      </c>
      <c r="G61" s="42">
        <f>[5]pil10!$L$5</f>
        <v>13.079609944068313</v>
      </c>
      <c r="H61" s="16">
        <v>1</v>
      </c>
      <c r="I61" s="42">
        <f t="shared" si="4"/>
        <v>13.079609944068313</v>
      </c>
      <c r="N61" s="187"/>
      <c r="O61" s="187"/>
      <c r="P61" s="188">
        <v>10</v>
      </c>
      <c r="Q61" s="190">
        <f>[1]pil10!$H$3</f>
        <v>70</v>
      </c>
      <c r="R61" s="190">
        <f>[1]pil10!$H$4</f>
        <v>30</v>
      </c>
      <c r="S61" s="42">
        <f>[6]pil10!$L$5</f>
        <v>31.03928380113317</v>
      </c>
      <c r="T61" s="16">
        <v>1</v>
      </c>
      <c r="U61" s="42">
        <f t="shared" si="5"/>
        <v>31.03928380113317</v>
      </c>
      <c r="X61" s="60">
        <f>S52</f>
        <v>1.6186402485426059</v>
      </c>
      <c r="Y61" s="218">
        <f>S53</f>
        <v>18.544280512529447</v>
      </c>
      <c r="Z61" s="218">
        <f>S54</f>
        <v>10.025000766838676</v>
      </c>
    </row>
    <row r="62" spans="2:28" x14ac:dyDescent="0.25">
      <c r="B62" s="187"/>
      <c r="C62" s="187"/>
      <c r="D62" s="188">
        <v>11</v>
      </c>
      <c r="E62" s="189">
        <f>[1]pil11!$H$3</f>
        <v>30</v>
      </c>
      <c r="F62" s="189">
        <f>[1]pil11!$H$4</f>
        <v>70</v>
      </c>
      <c r="G62" s="42">
        <f>[5]pil11!$L$5</f>
        <v>32.060671351242647</v>
      </c>
      <c r="H62" s="16">
        <v>1</v>
      </c>
      <c r="I62" s="42">
        <f t="shared" si="4"/>
        <v>32.060671351242647</v>
      </c>
      <c r="N62" s="187"/>
      <c r="O62" s="187"/>
      <c r="P62" s="188">
        <v>11</v>
      </c>
      <c r="Q62" s="189">
        <f>[1]pil11!$H$3</f>
        <v>30</v>
      </c>
      <c r="R62" s="189">
        <f>[1]pil11!$H$4</f>
        <v>70</v>
      </c>
      <c r="S62" s="42">
        <f>[6]pil11!$L$5</f>
        <v>12.902299788370408</v>
      </c>
      <c r="T62" s="16">
        <v>1</v>
      </c>
      <c r="U62" s="42">
        <f t="shared" si="5"/>
        <v>12.902299788370408</v>
      </c>
    </row>
    <row r="63" spans="2:28" x14ac:dyDescent="0.25">
      <c r="B63" s="187"/>
      <c r="C63" s="187"/>
      <c r="D63" s="188">
        <v>12</v>
      </c>
      <c r="E63" s="104">
        <f>[1]pil12!$H$3</f>
        <v>70</v>
      </c>
      <c r="F63" s="104">
        <f>[1]pil12!$H$4</f>
        <v>30</v>
      </c>
      <c r="G63" s="42">
        <f>[5]pil12!$L$5</f>
        <v>10.589062664704553</v>
      </c>
      <c r="H63" s="16">
        <v>1</v>
      </c>
      <c r="I63" s="42">
        <f t="shared" si="4"/>
        <v>10.589062664704553</v>
      </c>
      <c r="N63" s="187"/>
      <c r="O63" s="187"/>
      <c r="P63" s="188">
        <v>12</v>
      </c>
      <c r="Q63" s="104">
        <f>[1]pil12!$H$3</f>
        <v>70</v>
      </c>
      <c r="R63" s="104">
        <f>[1]pil12!$H$4</f>
        <v>30</v>
      </c>
      <c r="S63" s="42">
        <f>[6]pil12!$L$5</f>
        <v>31.03928380113317</v>
      </c>
      <c r="T63" s="16">
        <v>1</v>
      </c>
      <c r="U63" s="42">
        <f t="shared" si="5"/>
        <v>31.03928380113317</v>
      </c>
    </row>
    <row r="64" spans="2:28" x14ac:dyDescent="0.25">
      <c r="B64" s="187"/>
      <c r="C64" s="187"/>
      <c r="D64" s="188">
        <v>13</v>
      </c>
      <c r="E64" s="104">
        <f>[1]pil13!$H$3</f>
        <v>70</v>
      </c>
      <c r="F64" s="104">
        <f>[1]pil13!$H$4</f>
        <v>30</v>
      </c>
      <c r="G64" s="42">
        <f>[5]pil13!$L$5</f>
        <v>1.691064490631375</v>
      </c>
      <c r="H64" s="16">
        <v>1</v>
      </c>
      <c r="I64" s="42">
        <f t="shared" si="4"/>
        <v>1.691064490631375</v>
      </c>
      <c r="N64" s="187"/>
      <c r="O64" s="187"/>
      <c r="P64" s="188">
        <v>13</v>
      </c>
      <c r="Q64" s="104">
        <f>[1]pil13!$H$3</f>
        <v>70</v>
      </c>
      <c r="R64" s="104">
        <f>[1]pil13!$H$4</f>
        <v>30</v>
      </c>
      <c r="S64" s="42">
        <f>[6]pil13!$L$5</f>
        <v>31.03928380113317</v>
      </c>
      <c r="T64" s="16">
        <v>1</v>
      </c>
      <c r="U64" s="42">
        <f t="shared" si="5"/>
        <v>31.03928380113317</v>
      </c>
    </row>
    <row r="65" spans="2:28" x14ac:dyDescent="0.25">
      <c r="B65" s="187"/>
      <c r="C65" s="187"/>
      <c r="D65" s="188">
        <v>14</v>
      </c>
      <c r="E65" s="104">
        <f>[1]pil14!$H$3</f>
        <v>30</v>
      </c>
      <c r="F65" s="104">
        <f>[1]pil14!$H$4</f>
        <v>70</v>
      </c>
      <c r="G65" s="42">
        <f>[5]pil14!$L$5</f>
        <v>19.271243061629978</v>
      </c>
      <c r="H65" s="16">
        <v>1</v>
      </c>
      <c r="I65" s="42">
        <f t="shared" si="4"/>
        <v>19.271243061629978</v>
      </c>
      <c r="N65" s="187"/>
      <c r="O65" s="187"/>
      <c r="P65" s="188">
        <v>14</v>
      </c>
      <c r="Q65" s="104">
        <f>[1]pil14!$H$3</f>
        <v>30</v>
      </c>
      <c r="R65" s="104">
        <f>[1]pil14!$H$4</f>
        <v>70</v>
      </c>
      <c r="S65" s="42">
        <f>[6]pil14!$L$5</f>
        <v>1.6186402485426059</v>
      </c>
      <c r="T65" s="16">
        <v>1</v>
      </c>
      <c r="U65" s="42">
        <f t="shared" si="5"/>
        <v>1.6186402485426059</v>
      </c>
    </row>
    <row r="66" spans="2:28" ht="15.75" thickBot="1" x14ac:dyDescent="0.3">
      <c r="B66" s="187"/>
      <c r="C66" s="187"/>
      <c r="D66" s="188">
        <v>15</v>
      </c>
      <c r="E66" s="190">
        <f>[1]pil15!$H$3</f>
        <v>70</v>
      </c>
      <c r="F66" s="190">
        <f>[1]pil15!$H$4</f>
        <v>30</v>
      </c>
      <c r="G66" s="42">
        <f>[5]pil15!$L$5</f>
        <v>13.079609944068313</v>
      </c>
      <c r="H66" s="16">
        <v>1</v>
      </c>
      <c r="I66" s="42">
        <f t="shared" si="4"/>
        <v>13.079609944068313</v>
      </c>
      <c r="N66" s="187"/>
      <c r="O66" s="187"/>
      <c r="P66" s="188">
        <v>15</v>
      </c>
      <c r="Q66" s="190">
        <f>[1]pil15!$H$3</f>
        <v>70</v>
      </c>
      <c r="R66" s="190">
        <f>[1]pil15!$H$4</f>
        <v>30</v>
      </c>
      <c r="S66" s="42">
        <f>[6]pil15!$L$5</f>
        <v>18.544280512529447</v>
      </c>
      <c r="T66" s="16">
        <v>1</v>
      </c>
      <c r="U66" s="42">
        <f t="shared" si="5"/>
        <v>18.544280512529447</v>
      </c>
    </row>
    <row r="67" spans="2:28" x14ac:dyDescent="0.25">
      <c r="B67" s="187"/>
      <c r="C67" s="187"/>
      <c r="D67" s="188">
        <v>16</v>
      </c>
      <c r="E67" s="189">
        <f>[1]pil16!$H$3</f>
        <v>70</v>
      </c>
      <c r="F67" s="189">
        <f>[1]pil16!$H$4</f>
        <v>30</v>
      </c>
      <c r="G67" s="42">
        <f>[5]pil16!$L$5</f>
        <v>13.89437743568411</v>
      </c>
      <c r="H67" s="16">
        <v>1</v>
      </c>
      <c r="I67" s="42">
        <f t="shared" si="4"/>
        <v>13.89437743568411</v>
      </c>
      <c r="N67" s="187"/>
      <c r="O67" s="187"/>
      <c r="P67" s="188">
        <v>16</v>
      </c>
      <c r="Q67" s="189">
        <f>[1]pil16!$H$3</f>
        <v>70</v>
      </c>
      <c r="R67" s="189">
        <f>[1]pil16!$H$4</f>
        <v>30</v>
      </c>
      <c r="S67" s="42">
        <f>[6]pil16!$L$5</f>
        <v>18.544280512529447</v>
      </c>
      <c r="T67" s="16">
        <v>1</v>
      </c>
      <c r="U67" s="42">
        <f t="shared" si="5"/>
        <v>18.544280512529447</v>
      </c>
    </row>
    <row r="68" spans="2:28" x14ac:dyDescent="0.25">
      <c r="B68" s="187"/>
      <c r="C68" s="187"/>
      <c r="D68" s="188">
        <v>17</v>
      </c>
      <c r="E68" s="104">
        <f>[1]pil17!$H$3</f>
        <v>30</v>
      </c>
      <c r="F68" s="104">
        <f>[1]pil17!$H$4</f>
        <v>70</v>
      </c>
      <c r="G68" s="42">
        <f>[5]pil17!$L$5</f>
        <v>32.060671351242647</v>
      </c>
      <c r="H68" s="16">
        <v>1</v>
      </c>
      <c r="I68" s="42">
        <f t="shared" si="4"/>
        <v>32.060671351242647</v>
      </c>
      <c r="N68" s="187"/>
      <c r="O68" s="187"/>
      <c r="P68" s="188">
        <v>17</v>
      </c>
      <c r="Q68" s="104">
        <f>[1]pil17!$H$3</f>
        <v>30</v>
      </c>
      <c r="R68" s="104">
        <f>[1]pil17!$H$4</f>
        <v>70</v>
      </c>
      <c r="S68" s="42">
        <f>[6]pil17!$L$5</f>
        <v>10.025000766838676</v>
      </c>
      <c r="T68" s="16">
        <v>1</v>
      </c>
      <c r="U68" s="42">
        <f t="shared" si="5"/>
        <v>10.025000766838676</v>
      </c>
    </row>
    <row r="69" spans="2:28" x14ac:dyDescent="0.25">
      <c r="B69" s="187"/>
      <c r="C69" s="187"/>
      <c r="D69" s="188">
        <v>18</v>
      </c>
      <c r="E69" s="104">
        <f>[1]pil18!$H$3</f>
        <v>30</v>
      </c>
      <c r="F69" s="104">
        <f>[1]pil18!$H$4</f>
        <v>70</v>
      </c>
      <c r="G69" s="42">
        <f>[5]pil18!$L$5</f>
        <v>19.271243061629978</v>
      </c>
      <c r="H69" s="16">
        <v>1</v>
      </c>
      <c r="I69" s="42">
        <f t="shared" si="4"/>
        <v>19.271243061629978</v>
      </c>
      <c r="N69" s="187"/>
      <c r="O69" s="187"/>
      <c r="P69" s="188">
        <v>18</v>
      </c>
      <c r="Q69" s="104">
        <f>[1]pil18!$H$3</f>
        <v>30</v>
      </c>
      <c r="R69" s="104">
        <f>[1]pil18!$H$4</f>
        <v>70</v>
      </c>
      <c r="S69" s="42">
        <f>[6]pil18!$L$5</f>
        <v>10.025000766838676</v>
      </c>
      <c r="T69" s="16">
        <v>1</v>
      </c>
      <c r="U69" s="42">
        <f t="shared" si="5"/>
        <v>10.025000766838676</v>
      </c>
    </row>
    <row r="70" spans="2:28" ht="15.75" thickBot="1" x14ac:dyDescent="0.3">
      <c r="H70" s="29">
        <f>SUM(H52:H69)</f>
        <v>18</v>
      </c>
      <c r="I70" s="42">
        <f>SUM(G52:G69)</f>
        <v>323.56973572373698</v>
      </c>
      <c r="T70" s="29">
        <f>SUM(T52:T69)</f>
        <v>18</v>
      </c>
      <c r="U70" s="42">
        <f>SUM(S52:S69)</f>
        <v>298.37753336301182</v>
      </c>
    </row>
    <row r="73" spans="2:28" ht="15.75" thickBot="1" x14ac:dyDescent="0.3"/>
    <row r="74" spans="2:28" ht="15.75" thickBot="1" x14ac:dyDescent="0.3">
      <c r="B74" s="274" t="s">
        <v>218</v>
      </c>
      <c r="C74" s="295"/>
      <c r="D74" s="295"/>
      <c r="E74" s="295"/>
      <c r="F74" s="295"/>
      <c r="G74" s="296"/>
      <c r="N74" s="274" t="s">
        <v>218</v>
      </c>
      <c r="O74" s="295"/>
      <c r="P74" s="295"/>
      <c r="Q74" s="295"/>
      <c r="R74" s="295"/>
      <c r="S74" s="296"/>
      <c r="X74" s="307" t="s">
        <v>244</v>
      </c>
      <c r="Y74" s="307"/>
      <c r="Z74" s="307"/>
      <c r="AA74" s="307"/>
      <c r="AB74" s="307"/>
    </row>
    <row r="75" spans="2:28" x14ac:dyDescent="0.25">
      <c r="B75" s="69"/>
      <c r="C75" s="70"/>
      <c r="D75" s="181" t="s">
        <v>55</v>
      </c>
      <c r="E75" s="182" t="s">
        <v>74</v>
      </c>
      <c r="F75" s="183" t="s">
        <v>213</v>
      </c>
      <c r="G75" s="184" t="s">
        <v>214</v>
      </c>
      <c r="H75" s="185" t="s">
        <v>55</v>
      </c>
      <c r="I75" s="186" t="s">
        <v>215</v>
      </c>
      <c r="N75" s="69"/>
      <c r="O75" s="70"/>
      <c r="P75" s="181" t="s">
        <v>55</v>
      </c>
      <c r="Q75" s="182" t="s">
        <v>74</v>
      </c>
      <c r="R75" s="183" t="s">
        <v>213</v>
      </c>
      <c r="S75" s="184" t="s">
        <v>214</v>
      </c>
      <c r="T75" s="185" t="s">
        <v>55</v>
      </c>
      <c r="U75" s="186" t="s">
        <v>215</v>
      </c>
      <c r="X75" s="42">
        <f>G89</f>
        <v>23.037706400109165</v>
      </c>
      <c r="Y75" s="195">
        <f>G90</f>
        <v>13.949188529782598</v>
      </c>
      <c r="Z75" s="195">
        <f>G91</f>
        <v>14.830414266758693</v>
      </c>
      <c r="AA75" s="195">
        <f>G92</f>
        <v>37.371674845041319</v>
      </c>
      <c r="AB75" s="219">
        <f>G93</f>
        <v>23.037706400109165</v>
      </c>
    </row>
    <row r="76" spans="2:28" x14ac:dyDescent="0.25">
      <c r="B76" s="297"/>
      <c r="C76" s="297"/>
      <c r="D76" s="188">
        <v>1</v>
      </c>
      <c r="E76" s="189">
        <f>[1]pil1!$H$3</f>
        <v>30</v>
      </c>
      <c r="F76" s="189">
        <f>[1]pil1!$H$4</f>
        <v>70</v>
      </c>
      <c r="G76" s="42">
        <f>[7]pil1!$L$5</f>
        <v>23.037706400109165</v>
      </c>
      <c r="H76" s="16">
        <v>1</v>
      </c>
      <c r="I76" s="42">
        <f>G76*H76</f>
        <v>23.037706400109165</v>
      </c>
      <c r="N76" s="297"/>
      <c r="O76" s="297"/>
      <c r="P76" s="188">
        <v>1</v>
      </c>
      <c r="Q76" s="189">
        <f>[1]pil1!$H$3</f>
        <v>30</v>
      </c>
      <c r="R76" s="189">
        <f>[1]pil1!$H$4</f>
        <v>70</v>
      </c>
      <c r="S76" s="42">
        <f>[8]pil1!$L$5</f>
        <v>1.6186402485426059</v>
      </c>
      <c r="T76" s="16">
        <v>1</v>
      </c>
      <c r="U76" s="42">
        <f>S76*T76</f>
        <v>1.6186402485426059</v>
      </c>
      <c r="X76" s="42">
        <f>I84</f>
        <v>11.32020493299491</v>
      </c>
      <c r="Y76" s="195">
        <f>G85</f>
        <v>13.949188529782598</v>
      </c>
      <c r="Z76" s="195">
        <f>G86</f>
        <v>37.371674845041319</v>
      </c>
      <c r="AA76" s="195">
        <f>G87</f>
        <v>11.575265622417703</v>
      </c>
      <c r="AB76" s="42">
        <f>G88</f>
        <v>1.691064490631375</v>
      </c>
    </row>
    <row r="77" spans="2:28" x14ac:dyDescent="0.25">
      <c r="B77" s="297"/>
      <c r="C77" s="297"/>
      <c r="D77" s="188">
        <v>2</v>
      </c>
      <c r="E77" s="104">
        <f>[1]pil2!$H$3</f>
        <v>70</v>
      </c>
      <c r="F77" s="104">
        <f>[1]pil2!$H$4</f>
        <v>30</v>
      </c>
      <c r="G77" s="42">
        <f>[7]pil2!$L$5</f>
        <v>13.949188529782598</v>
      </c>
      <c r="H77" s="16">
        <v>1</v>
      </c>
      <c r="I77" s="42">
        <f t="shared" ref="I77:I93" si="6">G77*H77</f>
        <v>13.949188529782598</v>
      </c>
      <c r="N77" s="297"/>
      <c r="O77" s="297"/>
      <c r="P77" s="188">
        <v>2</v>
      </c>
      <c r="Q77" s="104">
        <f>[1]pil2!$H$3</f>
        <v>70</v>
      </c>
      <c r="R77" s="104">
        <f>[1]pil2!$H$4</f>
        <v>30</v>
      </c>
      <c r="S77" s="42">
        <f>[8]pil2!$L$5</f>
        <v>22.197621734747546</v>
      </c>
      <c r="T77" s="16">
        <v>1</v>
      </c>
      <c r="U77" s="42">
        <f t="shared" ref="U77:U93" si="7">S77*T77</f>
        <v>22.197621734747546</v>
      </c>
      <c r="X77" s="60">
        <f>I79</f>
        <v>11.32020493299491</v>
      </c>
      <c r="Y77" s="218">
        <f>I80</f>
        <v>13.949188529782598</v>
      </c>
      <c r="Z77" s="218">
        <f>I81</f>
        <v>37.371674845041319</v>
      </c>
      <c r="AA77" s="218">
        <f>I82</f>
        <v>37.371674845041319</v>
      </c>
      <c r="AB77" s="60">
        <f>I83</f>
        <v>23.037706400109165</v>
      </c>
    </row>
    <row r="78" spans="2:28" x14ac:dyDescent="0.25">
      <c r="B78" s="56"/>
      <c r="C78" s="56"/>
      <c r="D78" s="188">
        <v>3</v>
      </c>
      <c r="E78" s="104">
        <f>[1]pil3!$H$3</f>
        <v>30</v>
      </c>
      <c r="F78" s="104">
        <f>[1]pil3!$H$4</f>
        <v>70</v>
      </c>
      <c r="G78" s="42">
        <f>[7]pil3!$L$5</f>
        <v>23.037706400109165</v>
      </c>
      <c r="H78" s="16">
        <v>1</v>
      </c>
      <c r="I78" s="42">
        <f t="shared" si="6"/>
        <v>23.037706400109165</v>
      </c>
      <c r="N78" s="187"/>
      <c r="O78" s="187"/>
      <c r="P78" s="188">
        <v>3</v>
      </c>
      <c r="Q78" s="104">
        <f>[1]pil3!$H$3</f>
        <v>30</v>
      </c>
      <c r="R78" s="104">
        <f>[1]pil3!$H$4</f>
        <v>70</v>
      </c>
      <c r="S78" s="42">
        <f>[8]pil3!$L$5</f>
        <v>11.113531924153465</v>
      </c>
      <c r="T78" s="16">
        <v>1</v>
      </c>
      <c r="U78" s="42">
        <f t="shared" si="7"/>
        <v>11.113531924153465</v>
      </c>
      <c r="X78" s="60">
        <f>I76</f>
        <v>23.037706400109165</v>
      </c>
      <c r="Y78" s="218">
        <f>I77</f>
        <v>13.949188529782598</v>
      </c>
      <c r="Z78" s="218">
        <f>I78</f>
        <v>23.037706400109165</v>
      </c>
    </row>
    <row r="79" spans="2:28" x14ac:dyDescent="0.25">
      <c r="B79" s="56"/>
      <c r="C79" s="56"/>
      <c r="D79" s="188">
        <v>4</v>
      </c>
      <c r="E79" s="104">
        <f>[1]pil4!$H$3</f>
        <v>70</v>
      </c>
      <c r="F79" s="104">
        <f>[1]pil4!$H$4</f>
        <v>30</v>
      </c>
      <c r="G79" s="42">
        <f>[7]pil4!$L$5</f>
        <v>11.32020493299491</v>
      </c>
      <c r="H79" s="16">
        <v>1</v>
      </c>
      <c r="I79" s="42">
        <f t="shared" si="6"/>
        <v>11.32020493299491</v>
      </c>
      <c r="N79" s="187"/>
      <c r="O79" s="187"/>
      <c r="P79" s="188">
        <v>4</v>
      </c>
      <c r="Q79" s="104">
        <f>[1]pil4!$H$3</f>
        <v>70</v>
      </c>
      <c r="R79" s="104">
        <f>[1]pil4!$H$4</f>
        <v>30</v>
      </c>
      <c r="S79" s="42">
        <f>[8]pil4!$L$5</f>
        <v>23.251855323175192</v>
      </c>
      <c r="T79" s="16">
        <v>1</v>
      </c>
      <c r="U79" s="42">
        <f t="shared" si="7"/>
        <v>23.251855323175192</v>
      </c>
    </row>
    <row r="80" spans="2:28" ht="15.75" thickBot="1" x14ac:dyDescent="0.3">
      <c r="B80" s="56"/>
      <c r="C80" s="56"/>
      <c r="D80" s="188">
        <v>5</v>
      </c>
      <c r="E80" s="190">
        <f>[1]pil5!$H$3</f>
        <v>70</v>
      </c>
      <c r="F80" s="190">
        <f>[1]pil5!$H$4</f>
        <v>30</v>
      </c>
      <c r="G80" s="42">
        <f>[7]pil5!$L$5</f>
        <v>13.949188529782598</v>
      </c>
      <c r="H80" s="16">
        <v>1</v>
      </c>
      <c r="I80" s="42">
        <f t="shared" si="6"/>
        <v>13.949188529782598</v>
      </c>
      <c r="N80" s="187"/>
      <c r="O80" s="187"/>
      <c r="P80" s="188">
        <v>5</v>
      </c>
      <c r="Q80" s="190">
        <f>[1]pil5!$H$3</f>
        <v>70</v>
      </c>
      <c r="R80" s="190">
        <f>[1]pil5!$H$4</f>
        <v>30</v>
      </c>
      <c r="S80" s="42">
        <f>[8]pil5!$L$5</f>
        <v>36.258658182989691</v>
      </c>
      <c r="T80" s="16">
        <v>1</v>
      </c>
      <c r="U80" s="42">
        <f t="shared" si="7"/>
        <v>36.258658182989691</v>
      </c>
    </row>
    <row r="81" spans="2:28" x14ac:dyDescent="0.25">
      <c r="B81" s="56"/>
      <c r="C81" s="56"/>
      <c r="D81" s="188">
        <v>6</v>
      </c>
      <c r="E81" s="189">
        <f>[1]pil6!$H$3</f>
        <v>30</v>
      </c>
      <c r="F81" s="189">
        <f>[1]pil6!$H$4</f>
        <v>70</v>
      </c>
      <c r="G81" s="42">
        <f>[7]pil6!$L$5</f>
        <v>37.371674845041319</v>
      </c>
      <c r="H81" s="16">
        <v>1</v>
      </c>
      <c r="I81" s="42">
        <f t="shared" si="6"/>
        <v>37.371674845041319</v>
      </c>
      <c r="N81" s="187"/>
      <c r="O81" s="187"/>
      <c r="P81" s="188">
        <v>6</v>
      </c>
      <c r="Q81" s="189">
        <f>[1]pil6!$H$3</f>
        <v>30</v>
      </c>
      <c r="R81" s="189">
        <f>[1]pil6!$H$4</f>
        <v>70</v>
      </c>
      <c r="S81" s="42">
        <f>[8]pil6!$L$5</f>
        <v>13.791173807607588</v>
      </c>
      <c r="T81" s="16">
        <v>1</v>
      </c>
      <c r="U81" s="42">
        <f t="shared" si="7"/>
        <v>13.791173807607588</v>
      </c>
      <c r="X81" s="307" t="s">
        <v>245</v>
      </c>
      <c r="Y81" s="307"/>
      <c r="Z81" s="307"/>
      <c r="AA81" s="307"/>
      <c r="AB81" s="307"/>
    </row>
    <row r="82" spans="2:28" x14ac:dyDescent="0.25">
      <c r="B82" s="56"/>
      <c r="C82" s="56"/>
      <c r="D82" s="188">
        <v>7</v>
      </c>
      <c r="E82" s="104">
        <f>[1]pil7!$H$3</f>
        <v>30</v>
      </c>
      <c r="F82" s="104">
        <f>[1]pil7!$H$4</f>
        <v>70</v>
      </c>
      <c r="G82" s="42">
        <f>[7]pil7!$L$5</f>
        <v>37.371674845041319</v>
      </c>
      <c r="H82" s="16">
        <v>1</v>
      </c>
      <c r="I82" s="42">
        <f t="shared" si="6"/>
        <v>37.371674845041319</v>
      </c>
      <c r="N82" s="187"/>
      <c r="O82" s="187"/>
      <c r="P82" s="188">
        <v>7</v>
      </c>
      <c r="Q82" s="104">
        <f>[1]pil7!$H$3</f>
        <v>30</v>
      </c>
      <c r="R82" s="104">
        <f>[1]pil7!$H$4</f>
        <v>70</v>
      </c>
      <c r="S82" s="42">
        <f>[8]pil7!$L$5</f>
        <v>11.113531924153465</v>
      </c>
      <c r="T82" s="16">
        <v>1</v>
      </c>
      <c r="U82" s="42">
        <f t="shared" si="7"/>
        <v>11.113531924153465</v>
      </c>
      <c r="X82" s="42">
        <f>S89</f>
        <v>1.6186402485426059</v>
      </c>
      <c r="Y82" s="195">
        <f>S90</f>
        <v>22.197621734747546</v>
      </c>
      <c r="Z82" s="195">
        <f>S91</f>
        <v>22.197621734747546</v>
      </c>
      <c r="AA82" s="195">
        <f>S92</f>
        <v>11.113531924153465</v>
      </c>
      <c r="AB82" s="219">
        <f>S93</f>
        <v>11.113531924153465</v>
      </c>
    </row>
    <row r="83" spans="2:28" x14ac:dyDescent="0.25">
      <c r="B83" s="56"/>
      <c r="C83" s="56"/>
      <c r="D83" s="188">
        <v>8</v>
      </c>
      <c r="E83" s="104">
        <f>[1]pil8!$H$3</f>
        <v>30</v>
      </c>
      <c r="F83" s="104">
        <f>[1]pil8!$H$4</f>
        <v>70</v>
      </c>
      <c r="G83" s="42">
        <f>[7]pil8!$L$5</f>
        <v>23.037706400109165</v>
      </c>
      <c r="H83" s="16">
        <v>1</v>
      </c>
      <c r="I83" s="42">
        <f t="shared" si="6"/>
        <v>23.037706400109165</v>
      </c>
      <c r="N83" s="187"/>
      <c r="O83" s="187"/>
      <c r="P83" s="188">
        <v>8</v>
      </c>
      <c r="Q83" s="104">
        <f>[1]pil8!$H$3</f>
        <v>30</v>
      </c>
      <c r="R83" s="104">
        <f>[1]pil8!$H$4</f>
        <v>70</v>
      </c>
      <c r="S83" s="42">
        <f>[8]pil8!$L$5</f>
        <v>11.113531924153465</v>
      </c>
      <c r="T83" s="16">
        <v>1</v>
      </c>
      <c r="U83" s="42">
        <f t="shared" si="7"/>
        <v>11.113531924153465</v>
      </c>
      <c r="X83" s="42">
        <f>S84</f>
        <v>23.251855323175192</v>
      </c>
      <c r="Y83" s="195">
        <f>S85</f>
        <v>36.258658182989691</v>
      </c>
      <c r="Z83" s="195">
        <f>S86</f>
        <v>13.791173807607588</v>
      </c>
      <c r="AA83" s="195">
        <f>S87</f>
        <v>36.258658182989691</v>
      </c>
      <c r="AB83" s="42">
        <f>S88</f>
        <v>36.258658182989691</v>
      </c>
    </row>
    <row r="84" spans="2:28" x14ac:dyDescent="0.25">
      <c r="B84" s="56"/>
      <c r="C84" s="56"/>
      <c r="D84" s="188">
        <v>9</v>
      </c>
      <c r="E84" s="104">
        <f>[1]pil9!$H$3</f>
        <v>70</v>
      </c>
      <c r="F84" s="104">
        <f>[1]pil9!$H$4</f>
        <v>30</v>
      </c>
      <c r="G84" s="42">
        <f>[7]pil9!$L$5</f>
        <v>11.32020493299491</v>
      </c>
      <c r="H84" s="16">
        <v>1</v>
      </c>
      <c r="I84" s="42">
        <f t="shared" si="6"/>
        <v>11.32020493299491</v>
      </c>
      <c r="N84" s="187"/>
      <c r="O84" s="187"/>
      <c r="P84" s="188">
        <v>9</v>
      </c>
      <c r="Q84" s="104">
        <f>[1]pil9!$H$3</f>
        <v>70</v>
      </c>
      <c r="R84" s="104">
        <f>[1]pil9!$H$4</f>
        <v>30</v>
      </c>
      <c r="S84" s="42">
        <f>[8]pil9!$L$5</f>
        <v>23.251855323175192</v>
      </c>
      <c r="T84" s="16">
        <v>1</v>
      </c>
      <c r="U84" s="42">
        <f t="shared" si="7"/>
        <v>23.251855323175192</v>
      </c>
      <c r="X84" s="60">
        <f>S79</f>
        <v>23.251855323175192</v>
      </c>
      <c r="Y84" s="218">
        <f>S80</f>
        <v>36.258658182989691</v>
      </c>
      <c r="Z84" s="218">
        <f>S81</f>
        <v>13.791173807607588</v>
      </c>
      <c r="AA84" s="218">
        <f>S82</f>
        <v>11.113531924153465</v>
      </c>
      <c r="AB84" s="60">
        <f>S83</f>
        <v>11.113531924153465</v>
      </c>
    </row>
    <row r="85" spans="2:28" ht="15.75" thickBot="1" x14ac:dyDescent="0.3">
      <c r="B85" s="56"/>
      <c r="C85" s="56"/>
      <c r="D85" s="188">
        <v>10</v>
      </c>
      <c r="E85" s="190">
        <f>[1]pil10!$H$3</f>
        <v>70</v>
      </c>
      <c r="F85" s="190">
        <f>[1]pil10!$H$4</f>
        <v>30</v>
      </c>
      <c r="G85" s="42">
        <f>[7]pil10!$L$5</f>
        <v>13.949188529782598</v>
      </c>
      <c r="H85" s="16">
        <v>1</v>
      </c>
      <c r="I85" s="42">
        <f t="shared" si="6"/>
        <v>13.949188529782598</v>
      </c>
      <c r="N85" s="187"/>
      <c r="O85" s="187"/>
      <c r="P85" s="188">
        <v>10</v>
      </c>
      <c r="Q85" s="190">
        <f>[1]pil10!$H$3</f>
        <v>70</v>
      </c>
      <c r="R85" s="190">
        <f>[1]pil10!$H$4</f>
        <v>30</v>
      </c>
      <c r="S85" s="42">
        <f>[8]pil10!$L$5</f>
        <v>36.258658182989691</v>
      </c>
      <c r="T85" s="16">
        <v>1</v>
      </c>
      <c r="U85" s="42">
        <f t="shared" si="7"/>
        <v>36.258658182989691</v>
      </c>
      <c r="X85" s="60">
        <f>S76</f>
        <v>1.6186402485426059</v>
      </c>
      <c r="Y85" s="218">
        <f>S77</f>
        <v>22.197621734747546</v>
      </c>
      <c r="Z85" s="218">
        <f>S78</f>
        <v>11.113531924153465</v>
      </c>
    </row>
    <row r="86" spans="2:28" x14ac:dyDescent="0.25">
      <c r="B86" s="56"/>
      <c r="C86" s="56"/>
      <c r="D86" s="188">
        <v>11</v>
      </c>
      <c r="E86" s="189">
        <f>[1]pil11!$H$3</f>
        <v>30</v>
      </c>
      <c r="F86" s="189">
        <f>[1]pil11!$H$4</f>
        <v>70</v>
      </c>
      <c r="G86" s="42">
        <f>[7]pil11!$L$5</f>
        <v>37.371674845041319</v>
      </c>
      <c r="H86" s="16">
        <v>1</v>
      </c>
      <c r="I86" s="42">
        <f t="shared" si="6"/>
        <v>37.371674845041319</v>
      </c>
      <c r="N86" s="187"/>
      <c r="O86" s="187"/>
      <c r="P86" s="188">
        <v>11</v>
      </c>
      <c r="Q86" s="189">
        <f>[1]pil11!$H$3</f>
        <v>30</v>
      </c>
      <c r="R86" s="189">
        <f>[1]pil11!$H$4</f>
        <v>70</v>
      </c>
      <c r="S86" s="42">
        <f>[8]pil11!$L$5</f>
        <v>13.791173807607588</v>
      </c>
      <c r="T86" s="16">
        <v>1</v>
      </c>
      <c r="U86" s="42">
        <f t="shared" si="7"/>
        <v>13.791173807607588</v>
      </c>
    </row>
    <row r="87" spans="2:28" x14ac:dyDescent="0.25">
      <c r="B87" s="56"/>
      <c r="C87" s="56"/>
      <c r="D87" s="188">
        <v>12</v>
      </c>
      <c r="E87" s="104">
        <f>[1]pil12!$H$3</f>
        <v>70</v>
      </c>
      <c r="F87" s="104">
        <f>[1]pil12!$H$4</f>
        <v>30</v>
      </c>
      <c r="G87" s="42">
        <f>[7]pil12!$L$5</f>
        <v>11.575265622417703</v>
      </c>
      <c r="H87" s="16">
        <v>1</v>
      </c>
      <c r="I87" s="42">
        <f t="shared" si="6"/>
        <v>11.575265622417703</v>
      </c>
      <c r="N87" s="187"/>
      <c r="O87" s="187"/>
      <c r="P87" s="188">
        <v>12</v>
      </c>
      <c r="Q87" s="104">
        <f>[1]pil12!$H$3</f>
        <v>70</v>
      </c>
      <c r="R87" s="104">
        <f>[1]pil12!$H$4</f>
        <v>30</v>
      </c>
      <c r="S87" s="42">
        <f>[8]pil12!$L$5</f>
        <v>36.258658182989691</v>
      </c>
      <c r="T87" s="16">
        <v>1</v>
      </c>
      <c r="U87" s="42">
        <f t="shared" si="7"/>
        <v>36.258658182989691</v>
      </c>
    </row>
    <row r="88" spans="2:28" x14ac:dyDescent="0.25">
      <c r="B88" s="56"/>
      <c r="C88" s="56"/>
      <c r="D88" s="188">
        <v>13</v>
      </c>
      <c r="E88" s="104">
        <f>[1]pil13!$H$3</f>
        <v>70</v>
      </c>
      <c r="F88" s="104">
        <f>[1]pil13!$H$4</f>
        <v>30</v>
      </c>
      <c r="G88" s="42">
        <f>[7]pil13!$L$5</f>
        <v>1.691064490631375</v>
      </c>
      <c r="H88" s="16">
        <v>1</v>
      </c>
      <c r="I88" s="42">
        <f t="shared" si="6"/>
        <v>1.691064490631375</v>
      </c>
      <c r="N88" s="187"/>
      <c r="O88" s="187"/>
      <c r="P88" s="188">
        <v>13</v>
      </c>
      <c r="Q88" s="104">
        <f>[1]pil13!$H$3</f>
        <v>70</v>
      </c>
      <c r="R88" s="104">
        <f>[1]pil13!$H$4</f>
        <v>30</v>
      </c>
      <c r="S88" s="42">
        <f>[8]pil13!$L$5</f>
        <v>36.258658182989691</v>
      </c>
      <c r="T88" s="16">
        <v>1</v>
      </c>
      <c r="U88" s="42">
        <f t="shared" si="7"/>
        <v>36.258658182989691</v>
      </c>
    </row>
    <row r="89" spans="2:28" x14ac:dyDescent="0.25">
      <c r="B89" s="56"/>
      <c r="C89" s="56"/>
      <c r="D89" s="188">
        <v>14</v>
      </c>
      <c r="E89" s="104">
        <f>[1]pil14!$H$3</f>
        <v>30</v>
      </c>
      <c r="F89" s="104">
        <f>[1]pil14!$H$4</f>
        <v>70</v>
      </c>
      <c r="G89" s="42">
        <f>[7]pil14!$L$5</f>
        <v>23.037706400109165</v>
      </c>
      <c r="H89" s="16">
        <v>1</v>
      </c>
      <c r="I89" s="42">
        <f t="shared" si="6"/>
        <v>23.037706400109165</v>
      </c>
      <c r="N89" s="187"/>
      <c r="O89" s="187"/>
      <c r="P89" s="188">
        <v>14</v>
      </c>
      <c r="Q89" s="104">
        <f>[1]pil14!$H$3</f>
        <v>30</v>
      </c>
      <c r="R89" s="104">
        <f>[1]pil14!$H$4</f>
        <v>70</v>
      </c>
      <c r="S89" s="42">
        <f>[8]pil14!$L$5</f>
        <v>1.6186402485426059</v>
      </c>
      <c r="T89" s="16">
        <v>1</v>
      </c>
      <c r="U89" s="42">
        <f t="shared" si="7"/>
        <v>1.6186402485426059</v>
      </c>
    </row>
    <row r="90" spans="2:28" ht="15.75" thickBot="1" x14ac:dyDescent="0.3">
      <c r="B90" s="56"/>
      <c r="C90" s="56"/>
      <c r="D90" s="188">
        <v>15</v>
      </c>
      <c r="E90" s="190">
        <f>[1]pil15!$H$3</f>
        <v>70</v>
      </c>
      <c r="F90" s="190">
        <f>[1]pil15!$H$4</f>
        <v>30</v>
      </c>
      <c r="G90" s="42">
        <f>[7]pil15!$L$5</f>
        <v>13.949188529782598</v>
      </c>
      <c r="H90" s="16">
        <v>1</v>
      </c>
      <c r="I90" s="42">
        <f t="shared" si="6"/>
        <v>13.949188529782598</v>
      </c>
      <c r="N90" s="187"/>
      <c r="O90" s="187"/>
      <c r="P90" s="188">
        <v>15</v>
      </c>
      <c r="Q90" s="190">
        <f>[1]pil15!$H$3</f>
        <v>70</v>
      </c>
      <c r="R90" s="190">
        <f>[1]pil15!$H$4</f>
        <v>30</v>
      </c>
      <c r="S90" s="42">
        <f>[8]pil15!$L$5</f>
        <v>22.197621734747546</v>
      </c>
      <c r="T90" s="16">
        <v>1</v>
      </c>
      <c r="U90" s="42">
        <f t="shared" si="7"/>
        <v>22.197621734747546</v>
      </c>
    </row>
    <row r="91" spans="2:28" x14ac:dyDescent="0.25">
      <c r="B91" s="56"/>
      <c r="C91" s="56"/>
      <c r="D91" s="188">
        <v>16</v>
      </c>
      <c r="E91" s="189">
        <f>[1]pil16!$H$3</f>
        <v>70</v>
      </c>
      <c r="F91" s="189">
        <f>[1]pil16!$H$4</f>
        <v>30</v>
      </c>
      <c r="G91" s="42">
        <f>[7]pil16!$L$5</f>
        <v>14.830414266758693</v>
      </c>
      <c r="H91" s="16">
        <v>1</v>
      </c>
      <c r="I91" s="42">
        <f t="shared" si="6"/>
        <v>14.830414266758693</v>
      </c>
      <c r="N91" s="187"/>
      <c r="O91" s="187"/>
      <c r="P91" s="188">
        <v>16</v>
      </c>
      <c r="Q91" s="189">
        <f>[1]pil16!$H$3</f>
        <v>70</v>
      </c>
      <c r="R91" s="189">
        <f>[1]pil16!$H$4</f>
        <v>30</v>
      </c>
      <c r="S91" s="42">
        <f>[8]pil16!$L$5</f>
        <v>22.197621734747546</v>
      </c>
      <c r="T91" s="16">
        <v>1</v>
      </c>
      <c r="U91" s="42">
        <f t="shared" si="7"/>
        <v>22.197621734747546</v>
      </c>
    </row>
    <row r="92" spans="2:28" x14ac:dyDescent="0.25">
      <c r="B92" s="56"/>
      <c r="C92" s="56"/>
      <c r="D92" s="188">
        <v>17</v>
      </c>
      <c r="E92" s="104">
        <f>[1]pil17!$H$3</f>
        <v>30</v>
      </c>
      <c r="F92" s="104">
        <f>[1]pil17!$H$4</f>
        <v>70</v>
      </c>
      <c r="G92" s="42">
        <f>[7]pil17!$L$5</f>
        <v>37.371674845041319</v>
      </c>
      <c r="H92" s="16">
        <v>1</v>
      </c>
      <c r="I92" s="42">
        <f t="shared" si="6"/>
        <v>37.371674845041319</v>
      </c>
      <c r="N92" s="187"/>
      <c r="O92" s="187"/>
      <c r="P92" s="188">
        <v>17</v>
      </c>
      <c r="Q92" s="104">
        <f>[1]pil17!$H$3</f>
        <v>30</v>
      </c>
      <c r="R92" s="104">
        <f>[1]pil17!$H$4</f>
        <v>70</v>
      </c>
      <c r="S92" s="42">
        <f>[8]pil17!$L$5</f>
        <v>11.113531924153465</v>
      </c>
      <c r="T92" s="16">
        <v>1</v>
      </c>
      <c r="U92" s="42">
        <f t="shared" si="7"/>
        <v>11.113531924153465</v>
      </c>
    </row>
    <row r="93" spans="2:28" x14ac:dyDescent="0.25">
      <c r="B93" s="56"/>
      <c r="C93" s="56"/>
      <c r="D93" s="188">
        <v>18</v>
      </c>
      <c r="E93" s="104">
        <f>[1]pil18!$H$3</f>
        <v>30</v>
      </c>
      <c r="F93" s="104">
        <f>[1]pil18!$H$4</f>
        <v>70</v>
      </c>
      <c r="G93" s="42">
        <f>[7]pil18!$L$5</f>
        <v>23.037706400109165</v>
      </c>
      <c r="H93" s="16">
        <v>1</v>
      </c>
      <c r="I93" s="42">
        <f t="shared" si="6"/>
        <v>23.037706400109165</v>
      </c>
      <c r="N93" s="187"/>
      <c r="O93" s="187"/>
      <c r="P93" s="188">
        <v>18</v>
      </c>
      <c r="Q93" s="104">
        <f>[1]pil18!$H$3</f>
        <v>30</v>
      </c>
      <c r="R93" s="104">
        <f>[1]pil18!$H$4</f>
        <v>70</v>
      </c>
      <c r="S93" s="42">
        <f>[8]pil18!$L$5</f>
        <v>11.113531924153465</v>
      </c>
      <c r="T93" s="16">
        <v>1</v>
      </c>
      <c r="U93" s="42">
        <f t="shared" si="7"/>
        <v>11.113531924153465</v>
      </c>
    </row>
    <row r="94" spans="2:28" ht="15.75" thickBot="1" x14ac:dyDescent="0.3">
      <c r="H94" s="29">
        <f>SUM(H76:H93)</f>
        <v>18</v>
      </c>
      <c r="I94" s="42">
        <f>SUM(G76:G93)</f>
        <v>371.20913974563905</v>
      </c>
      <c r="T94" s="29">
        <f>SUM(T76:T93)</f>
        <v>18</v>
      </c>
      <c r="U94" s="42">
        <f>SUM(S76:S93)</f>
        <v>344.51849631561947</v>
      </c>
    </row>
    <row r="97" spans="2:28" ht="15.75" thickBot="1" x14ac:dyDescent="0.3"/>
    <row r="98" spans="2:28" ht="15.75" thickBot="1" x14ac:dyDescent="0.3">
      <c r="B98" s="274" t="s">
        <v>219</v>
      </c>
      <c r="C98" s="295"/>
      <c r="D98" s="295"/>
      <c r="E98" s="295"/>
      <c r="F98" s="295"/>
      <c r="G98" s="296"/>
      <c r="N98" s="274" t="s">
        <v>219</v>
      </c>
      <c r="O98" s="295"/>
      <c r="P98" s="295"/>
      <c r="Q98" s="295"/>
      <c r="R98" s="295"/>
      <c r="S98" s="296"/>
      <c r="X98" s="307" t="s">
        <v>244</v>
      </c>
      <c r="Y98" s="307"/>
      <c r="Z98" s="307"/>
      <c r="AA98" s="307"/>
      <c r="AB98" s="307"/>
    </row>
    <row r="99" spans="2:28" x14ac:dyDescent="0.25">
      <c r="B99" s="69"/>
      <c r="C99" s="70"/>
      <c r="D99" s="181" t="s">
        <v>55</v>
      </c>
      <c r="E99" s="182" t="s">
        <v>74</v>
      </c>
      <c r="F99" s="183" t="s">
        <v>213</v>
      </c>
      <c r="G99" s="184" t="s">
        <v>214</v>
      </c>
      <c r="H99" s="185" t="s">
        <v>55</v>
      </c>
      <c r="I99" s="186" t="s">
        <v>215</v>
      </c>
      <c r="N99" s="69"/>
      <c r="O99" s="70"/>
      <c r="P99" s="181" t="s">
        <v>55</v>
      </c>
      <c r="Q99" s="182" t="s">
        <v>74</v>
      </c>
      <c r="R99" s="183" t="s">
        <v>213</v>
      </c>
      <c r="S99" s="184" t="s">
        <v>214</v>
      </c>
      <c r="T99" s="185" t="s">
        <v>55</v>
      </c>
      <c r="U99" s="186" t="s">
        <v>215</v>
      </c>
      <c r="X99" s="42">
        <f>G113</f>
        <v>23.037706400109165</v>
      </c>
      <c r="Y99" s="195">
        <f>G114</f>
        <v>13.949188529782598</v>
      </c>
      <c r="Z99" s="195">
        <f>G115</f>
        <v>14.830414266758693</v>
      </c>
      <c r="AA99" s="195">
        <f>G116</f>
        <v>37.371674845041319</v>
      </c>
      <c r="AB99" s="219">
        <f>G117</f>
        <v>23.037706400109165</v>
      </c>
    </row>
    <row r="100" spans="2:28" x14ac:dyDescent="0.25">
      <c r="B100" s="297"/>
      <c r="C100" s="297"/>
      <c r="D100" s="188">
        <v>1</v>
      </c>
      <c r="E100" s="189">
        <f>[1]pil1!$H$3</f>
        <v>30</v>
      </c>
      <c r="F100" s="189">
        <f>[1]pil1!$H$4</f>
        <v>70</v>
      </c>
      <c r="G100" s="42">
        <f>[9]pil1!$L$5</f>
        <v>23.037706400109165</v>
      </c>
      <c r="H100" s="16">
        <v>1</v>
      </c>
      <c r="I100" s="42">
        <f>G100*H100</f>
        <v>23.037706400109165</v>
      </c>
      <c r="N100" s="297"/>
      <c r="O100" s="297"/>
      <c r="P100" s="188">
        <v>1</v>
      </c>
      <c r="Q100" s="189">
        <f>[1]pil1!$H$3</f>
        <v>30</v>
      </c>
      <c r="R100" s="189">
        <f>[1]pil1!$H$4</f>
        <v>70</v>
      </c>
      <c r="S100" s="42">
        <f>[10]pil1!$L$5</f>
        <v>1.6186402485426059</v>
      </c>
      <c r="T100" s="16">
        <v>1</v>
      </c>
      <c r="U100" s="42">
        <f>S100*T100</f>
        <v>1.6186402485426059</v>
      </c>
      <c r="X100" s="42">
        <f>I108</f>
        <v>11.32020493299491</v>
      </c>
      <c r="Y100" s="195">
        <f>G109</f>
        <v>13.949188529782598</v>
      </c>
      <c r="Z100" s="195">
        <f>G110</f>
        <v>37.371674845041319</v>
      </c>
      <c r="AA100" s="195">
        <f>G111</f>
        <v>11.575265622417703</v>
      </c>
      <c r="AB100" s="42">
        <f>G112</f>
        <v>1.691064490631375</v>
      </c>
    </row>
    <row r="101" spans="2:28" x14ac:dyDescent="0.25">
      <c r="B101" s="297"/>
      <c r="C101" s="297"/>
      <c r="D101" s="188">
        <v>2</v>
      </c>
      <c r="E101" s="104">
        <f>[1]pil2!$H$3</f>
        <v>70</v>
      </c>
      <c r="F101" s="104">
        <f>[1]pil2!$H$4</f>
        <v>30</v>
      </c>
      <c r="G101" s="42">
        <f>[9]pil2!$L$5</f>
        <v>13.949188529782598</v>
      </c>
      <c r="H101" s="16">
        <v>1</v>
      </c>
      <c r="I101" s="42">
        <f t="shared" ref="I101:I117" si="8">G101*H101</f>
        <v>13.949188529782598</v>
      </c>
      <c r="N101" s="297"/>
      <c r="O101" s="297"/>
      <c r="P101" s="188">
        <v>2</v>
      </c>
      <c r="Q101" s="104">
        <f>[1]pil2!$H$3</f>
        <v>70</v>
      </c>
      <c r="R101" s="104">
        <f>[1]pil2!$H$4</f>
        <v>30</v>
      </c>
      <c r="S101" s="42">
        <f>[10]pil2!$L$5</f>
        <v>22.197621734747546</v>
      </c>
      <c r="T101" s="16">
        <v>1</v>
      </c>
      <c r="U101" s="42">
        <f t="shared" ref="U101:U117" si="9">S101*T101</f>
        <v>22.197621734747546</v>
      </c>
      <c r="X101" s="60">
        <f>I103</f>
        <v>11.32020493299491</v>
      </c>
      <c r="Y101" s="218">
        <f>I104</f>
        <v>13.949188529782598</v>
      </c>
      <c r="Z101" s="218">
        <f>I105</f>
        <v>37.371674845041319</v>
      </c>
      <c r="AA101" s="218">
        <f>I106</f>
        <v>37.371674845041319</v>
      </c>
      <c r="AB101" s="60">
        <f>I107</f>
        <v>23.037706400109165</v>
      </c>
    </row>
    <row r="102" spans="2:28" x14ac:dyDescent="0.25">
      <c r="B102" s="187"/>
      <c r="C102" s="187"/>
      <c r="D102" s="188">
        <v>3</v>
      </c>
      <c r="E102" s="104">
        <f>[1]pil3!$H$3</f>
        <v>30</v>
      </c>
      <c r="F102" s="104">
        <f>[1]pil3!$H$4</f>
        <v>70</v>
      </c>
      <c r="G102" s="42">
        <f>[9]pil3!$L$5</f>
        <v>23.037706400109165</v>
      </c>
      <c r="H102" s="16">
        <v>1</v>
      </c>
      <c r="I102" s="42">
        <f t="shared" si="8"/>
        <v>23.037706400109165</v>
      </c>
      <c r="N102" s="187"/>
      <c r="O102" s="187"/>
      <c r="P102" s="188">
        <v>3</v>
      </c>
      <c r="Q102" s="104">
        <f>[1]pil3!$H$3</f>
        <v>30</v>
      </c>
      <c r="R102" s="104">
        <f>[1]pil3!$H$4</f>
        <v>70</v>
      </c>
      <c r="S102" s="42">
        <f>[10]pil3!$L$5</f>
        <v>11.113531924153465</v>
      </c>
      <c r="T102" s="16">
        <v>1</v>
      </c>
      <c r="U102" s="42">
        <f t="shared" si="9"/>
        <v>11.113531924153465</v>
      </c>
      <c r="X102" s="60">
        <f>I100</f>
        <v>23.037706400109165</v>
      </c>
      <c r="Y102" s="218">
        <f>I101</f>
        <v>13.949188529782598</v>
      </c>
      <c r="Z102" s="218">
        <f>I102</f>
        <v>23.037706400109165</v>
      </c>
    </row>
    <row r="103" spans="2:28" x14ac:dyDescent="0.25">
      <c r="B103" s="187"/>
      <c r="C103" s="187"/>
      <c r="D103" s="188">
        <v>4</v>
      </c>
      <c r="E103" s="104">
        <f>[1]pil4!$H$3</f>
        <v>70</v>
      </c>
      <c r="F103" s="104">
        <f>[1]pil4!$H$4</f>
        <v>30</v>
      </c>
      <c r="G103" s="42">
        <f>[9]pil4!$L$5</f>
        <v>11.32020493299491</v>
      </c>
      <c r="H103" s="16">
        <v>1</v>
      </c>
      <c r="I103" s="42">
        <f t="shared" si="8"/>
        <v>11.32020493299491</v>
      </c>
      <c r="N103" s="187"/>
      <c r="O103" s="187"/>
      <c r="P103" s="188">
        <v>4</v>
      </c>
      <c r="Q103" s="104">
        <f>[1]pil4!$H$3</f>
        <v>70</v>
      </c>
      <c r="R103" s="104">
        <f>[1]pil4!$H$4</f>
        <v>30</v>
      </c>
      <c r="S103" s="42">
        <f>[10]pil4!$L$5</f>
        <v>23.251855323175192</v>
      </c>
      <c r="T103" s="16">
        <v>1</v>
      </c>
      <c r="U103" s="42">
        <f t="shared" si="9"/>
        <v>23.251855323175192</v>
      </c>
    </row>
    <row r="104" spans="2:28" ht="15.75" thickBot="1" x14ac:dyDescent="0.3">
      <c r="B104" s="187"/>
      <c r="C104" s="187"/>
      <c r="D104" s="188">
        <v>5</v>
      </c>
      <c r="E104" s="190">
        <f>[1]pil5!$H$3</f>
        <v>70</v>
      </c>
      <c r="F104" s="190">
        <f>[1]pil5!$H$4</f>
        <v>30</v>
      </c>
      <c r="G104" s="42">
        <f>[9]pil5!$L$5</f>
        <v>13.949188529782598</v>
      </c>
      <c r="H104" s="16">
        <v>1</v>
      </c>
      <c r="I104" s="42">
        <f t="shared" si="8"/>
        <v>13.949188529782598</v>
      </c>
      <c r="N104" s="187"/>
      <c r="O104" s="187"/>
      <c r="P104" s="188">
        <v>5</v>
      </c>
      <c r="Q104" s="190">
        <f>[1]pil5!$H$3</f>
        <v>70</v>
      </c>
      <c r="R104" s="190">
        <f>[1]pil5!$H$4</f>
        <v>30</v>
      </c>
      <c r="S104" s="42">
        <f>[10]pil5!$L$5</f>
        <v>36.258658182989691</v>
      </c>
      <c r="T104" s="16">
        <v>1</v>
      </c>
      <c r="U104" s="42">
        <f t="shared" si="9"/>
        <v>36.258658182989691</v>
      </c>
    </row>
    <row r="105" spans="2:28" x14ac:dyDescent="0.25">
      <c r="B105" s="187"/>
      <c r="C105" s="187"/>
      <c r="D105" s="188">
        <v>6</v>
      </c>
      <c r="E105" s="189">
        <f>[1]pil6!$H$3</f>
        <v>30</v>
      </c>
      <c r="F105" s="189">
        <f>[1]pil6!$H$4</f>
        <v>70</v>
      </c>
      <c r="G105" s="42">
        <f>[9]pil6!$L$5</f>
        <v>37.371674845041319</v>
      </c>
      <c r="H105" s="16">
        <v>1</v>
      </c>
      <c r="I105" s="42">
        <f t="shared" si="8"/>
        <v>37.371674845041319</v>
      </c>
      <c r="N105" s="187"/>
      <c r="O105" s="187"/>
      <c r="P105" s="188">
        <v>6</v>
      </c>
      <c r="Q105" s="189">
        <f>[1]pil6!$H$3</f>
        <v>30</v>
      </c>
      <c r="R105" s="189">
        <f>[1]pil6!$H$4</f>
        <v>70</v>
      </c>
      <c r="S105" s="42">
        <f>[10]pil6!$L$5</f>
        <v>13.791173807607588</v>
      </c>
      <c r="T105" s="16">
        <v>1</v>
      </c>
      <c r="U105" s="42">
        <f t="shared" si="9"/>
        <v>13.791173807607588</v>
      </c>
      <c r="X105" s="307" t="s">
        <v>245</v>
      </c>
      <c r="Y105" s="307"/>
      <c r="Z105" s="307"/>
      <c r="AA105" s="307"/>
      <c r="AB105" s="307"/>
    </row>
    <row r="106" spans="2:28" x14ac:dyDescent="0.25">
      <c r="B106" s="187"/>
      <c r="C106" s="187"/>
      <c r="D106" s="188">
        <v>7</v>
      </c>
      <c r="E106" s="104">
        <f>[1]pil7!$H$3</f>
        <v>30</v>
      </c>
      <c r="F106" s="104">
        <f>[1]pil7!$H$4</f>
        <v>70</v>
      </c>
      <c r="G106" s="42">
        <f>[9]pil7!$L$5</f>
        <v>37.371674845041319</v>
      </c>
      <c r="H106" s="16">
        <v>1</v>
      </c>
      <c r="I106" s="42">
        <f t="shared" si="8"/>
        <v>37.371674845041319</v>
      </c>
      <c r="N106" s="187"/>
      <c r="O106" s="187"/>
      <c r="P106" s="188">
        <v>7</v>
      </c>
      <c r="Q106" s="104">
        <f>[1]pil7!$H$3</f>
        <v>30</v>
      </c>
      <c r="R106" s="104">
        <f>[1]pil7!$H$4</f>
        <v>70</v>
      </c>
      <c r="S106" s="42">
        <f>[10]pil7!$L$5</f>
        <v>11.113531924153465</v>
      </c>
      <c r="T106" s="16">
        <v>1</v>
      </c>
      <c r="U106" s="42">
        <f t="shared" si="9"/>
        <v>11.113531924153465</v>
      </c>
      <c r="X106" s="42">
        <f>S113</f>
        <v>1.6186402485426059</v>
      </c>
      <c r="Y106" s="195">
        <f>S114</f>
        <v>22.197621734747546</v>
      </c>
      <c r="Z106" s="195">
        <f>S115</f>
        <v>22.197621734747546</v>
      </c>
      <c r="AA106" s="195">
        <f>S116</f>
        <v>11.113531924153465</v>
      </c>
      <c r="AB106" s="219">
        <f>S117</f>
        <v>11.113531924153465</v>
      </c>
    </row>
    <row r="107" spans="2:28" x14ac:dyDescent="0.25">
      <c r="B107" s="187"/>
      <c r="C107" s="187"/>
      <c r="D107" s="188">
        <v>8</v>
      </c>
      <c r="E107" s="104">
        <f>[1]pil8!$H$3</f>
        <v>30</v>
      </c>
      <c r="F107" s="104">
        <f>[1]pil8!$H$4</f>
        <v>70</v>
      </c>
      <c r="G107" s="42">
        <f>[9]pil8!$L$5</f>
        <v>23.037706400109165</v>
      </c>
      <c r="H107" s="16">
        <v>1</v>
      </c>
      <c r="I107" s="42">
        <f t="shared" si="8"/>
        <v>23.037706400109165</v>
      </c>
      <c r="N107" s="187"/>
      <c r="O107" s="187"/>
      <c r="P107" s="188">
        <v>8</v>
      </c>
      <c r="Q107" s="104">
        <f>[1]pil8!$H$3</f>
        <v>30</v>
      </c>
      <c r="R107" s="104">
        <f>[1]pil8!$H$4</f>
        <v>70</v>
      </c>
      <c r="S107" s="42">
        <f>[10]pil8!$L$5</f>
        <v>11.113531924153465</v>
      </c>
      <c r="T107" s="16">
        <v>1</v>
      </c>
      <c r="U107" s="42">
        <f t="shared" si="9"/>
        <v>11.113531924153465</v>
      </c>
      <c r="X107" s="42">
        <f>S108</f>
        <v>23.251855323175192</v>
      </c>
      <c r="Y107" s="195">
        <f>S109</f>
        <v>36.258658182989691</v>
      </c>
      <c r="Z107" s="195">
        <f>S110</f>
        <v>13.791173807607588</v>
      </c>
      <c r="AA107" s="195">
        <f>S111</f>
        <v>36.258658182989691</v>
      </c>
      <c r="AB107" s="42">
        <f>S112</f>
        <v>36.258658182989691</v>
      </c>
    </row>
    <row r="108" spans="2:28" x14ac:dyDescent="0.25">
      <c r="B108" s="187"/>
      <c r="C108" s="187"/>
      <c r="D108" s="188">
        <v>9</v>
      </c>
      <c r="E108" s="104">
        <f>[1]pil9!$H$3</f>
        <v>70</v>
      </c>
      <c r="F108" s="104">
        <f>[1]pil9!$H$4</f>
        <v>30</v>
      </c>
      <c r="G108" s="42">
        <f>[9]pil9!$L$5</f>
        <v>11.32020493299491</v>
      </c>
      <c r="H108" s="16">
        <v>1</v>
      </c>
      <c r="I108" s="42">
        <f t="shared" si="8"/>
        <v>11.32020493299491</v>
      </c>
      <c r="N108" s="187"/>
      <c r="O108" s="187"/>
      <c r="P108" s="188">
        <v>9</v>
      </c>
      <c r="Q108" s="104">
        <f>[1]pil9!$H$3</f>
        <v>70</v>
      </c>
      <c r="R108" s="104">
        <f>[1]pil9!$H$4</f>
        <v>30</v>
      </c>
      <c r="S108" s="42">
        <f>[10]pil9!$L$5</f>
        <v>23.251855323175192</v>
      </c>
      <c r="T108" s="16">
        <v>1</v>
      </c>
      <c r="U108" s="42">
        <f t="shared" si="9"/>
        <v>23.251855323175192</v>
      </c>
      <c r="X108" s="60">
        <f>S103</f>
        <v>23.251855323175192</v>
      </c>
      <c r="Y108" s="218">
        <f>S104</f>
        <v>36.258658182989691</v>
      </c>
      <c r="Z108" s="218">
        <f>S105</f>
        <v>13.791173807607588</v>
      </c>
      <c r="AA108" s="218">
        <f>S106</f>
        <v>11.113531924153465</v>
      </c>
      <c r="AB108" s="60">
        <f>S107</f>
        <v>11.113531924153465</v>
      </c>
    </row>
    <row r="109" spans="2:28" ht="15.75" thickBot="1" x14ac:dyDescent="0.3">
      <c r="B109" s="187"/>
      <c r="C109" s="187"/>
      <c r="D109" s="188">
        <v>10</v>
      </c>
      <c r="E109" s="190">
        <f>[1]pil10!$H$3</f>
        <v>70</v>
      </c>
      <c r="F109" s="190">
        <f>[1]pil10!$H$4</f>
        <v>30</v>
      </c>
      <c r="G109" s="42">
        <f>[9]pil10!$L$5</f>
        <v>13.949188529782598</v>
      </c>
      <c r="H109" s="16">
        <v>1</v>
      </c>
      <c r="I109" s="42">
        <f t="shared" si="8"/>
        <v>13.949188529782598</v>
      </c>
      <c r="N109" s="187"/>
      <c r="O109" s="187"/>
      <c r="P109" s="188">
        <v>10</v>
      </c>
      <c r="Q109" s="190">
        <f>[1]pil10!$H$3</f>
        <v>70</v>
      </c>
      <c r="R109" s="190">
        <f>[1]pil10!$H$4</f>
        <v>30</v>
      </c>
      <c r="S109" s="42">
        <f>[10]pil10!$L$5</f>
        <v>36.258658182989691</v>
      </c>
      <c r="T109" s="16">
        <v>1</v>
      </c>
      <c r="U109" s="42">
        <f t="shared" si="9"/>
        <v>36.258658182989691</v>
      </c>
      <c r="X109" s="60">
        <f>S100</f>
        <v>1.6186402485426059</v>
      </c>
      <c r="Y109" s="218">
        <f>S101</f>
        <v>22.197621734747546</v>
      </c>
      <c r="Z109" s="218">
        <f>S102</f>
        <v>11.113531924153465</v>
      </c>
    </row>
    <row r="110" spans="2:28" x14ac:dyDescent="0.25">
      <c r="B110" s="187"/>
      <c r="C110" s="187"/>
      <c r="D110" s="188">
        <v>11</v>
      </c>
      <c r="E110" s="189">
        <f>[1]pil11!$H$3</f>
        <v>30</v>
      </c>
      <c r="F110" s="189">
        <f>[1]pil11!$H$4</f>
        <v>70</v>
      </c>
      <c r="G110" s="42">
        <f>[9]pil11!$L$5</f>
        <v>37.371674845041319</v>
      </c>
      <c r="H110" s="16">
        <v>1</v>
      </c>
      <c r="I110" s="42">
        <f t="shared" si="8"/>
        <v>37.371674845041319</v>
      </c>
      <c r="N110" s="187"/>
      <c r="O110" s="187"/>
      <c r="P110" s="188">
        <v>11</v>
      </c>
      <c r="Q110" s="189">
        <f>[1]pil11!$H$3</f>
        <v>30</v>
      </c>
      <c r="R110" s="189">
        <f>[1]pil11!$H$4</f>
        <v>70</v>
      </c>
      <c r="S110" s="42">
        <f>[10]pil11!$L$5</f>
        <v>13.791173807607588</v>
      </c>
      <c r="T110" s="16">
        <v>1</v>
      </c>
      <c r="U110" s="42">
        <f t="shared" si="9"/>
        <v>13.791173807607588</v>
      </c>
    </row>
    <row r="111" spans="2:28" x14ac:dyDescent="0.25">
      <c r="B111" s="187"/>
      <c r="C111" s="187"/>
      <c r="D111" s="188">
        <v>12</v>
      </c>
      <c r="E111" s="104">
        <f>[1]pil12!$H$3</f>
        <v>70</v>
      </c>
      <c r="F111" s="104">
        <f>[1]pil12!$H$4</f>
        <v>30</v>
      </c>
      <c r="G111" s="42">
        <f>[9]pil12!$L$5</f>
        <v>11.575265622417703</v>
      </c>
      <c r="H111" s="16">
        <v>1</v>
      </c>
      <c r="I111" s="42">
        <f t="shared" si="8"/>
        <v>11.575265622417703</v>
      </c>
      <c r="N111" s="187"/>
      <c r="O111" s="187"/>
      <c r="P111" s="188">
        <v>12</v>
      </c>
      <c r="Q111" s="104">
        <f>[1]pil12!$H$3</f>
        <v>70</v>
      </c>
      <c r="R111" s="104">
        <f>[1]pil12!$H$4</f>
        <v>30</v>
      </c>
      <c r="S111" s="42">
        <f>[10]pil12!$L$5</f>
        <v>36.258658182989691</v>
      </c>
      <c r="T111" s="16">
        <v>1</v>
      </c>
      <c r="U111" s="42">
        <f t="shared" si="9"/>
        <v>36.258658182989691</v>
      </c>
    </row>
    <row r="112" spans="2:28" x14ac:dyDescent="0.25">
      <c r="B112" s="187"/>
      <c r="C112" s="187"/>
      <c r="D112" s="188">
        <v>13</v>
      </c>
      <c r="E112" s="104">
        <f>[1]pil13!$H$3</f>
        <v>70</v>
      </c>
      <c r="F112" s="104">
        <f>[1]pil13!$H$4</f>
        <v>30</v>
      </c>
      <c r="G112" s="42">
        <f>[9]pil13!$L$5</f>
        <v>1.691064490631375</v>
      </c>
      <c r="H112" s="16">
        <v>1</v>
      </c>
      <c r="I112" s="42">
        <f t="shared" si="8"/>
        <v>1.691064490631375</v>
      </c>
      <c r="N112" s="187"/>
      <c r="O112" s="187"/>
      <c r="P112" s="188">
        <v>13</v>
      </c>
      <c r="Q112" s="104">
        <f>[1]pil13!$H$3</f>
        <v>70</v>
      </c>
      <c r="R112" s="104">
        <f>[1]pil13!$H$4</f>
        <v>30</v>
      </c>
      <c r="S112" s="42">
        <f>[10]pil13!$L$5</f>
        <v>36.258658182989691</v>
      </c>
      <c r="T112" s="16">
        <v>1</v>
      </c>
      <c r="U112" s="42">
        <f t="shared" si="9"/>
        <v>36.258658182989691</v>
      </c>
    </row>
    <row r="113" spans="2:28" x14ac:dyDescent="0.25">
      <c r="B113" s="187"/>
      <c r="C113" s="187"/>
      <c r="D113" s="188">
        <v>14</v>
      </c>
      <c r="E113" s="104">
        <f>[1]pil14!$H$3</f>
        <v>30</v>
      </c>
      <c r="F113" s="104">
        <f>[1]pil14!$H$4</f>
        <v>70</v>
      </c>
      <c r="G113" s="42">
        <f>[9]pil14!$L$5</f>
        <v>23.037706400109165</v>
      </c>
      <c r="H113" s="16">
        <v>1</v>
      </c>
      <c r="I113" s="42">
        <f t="shared" si="8"/>
        <v>23.037706400109165</v>
      </c>
      <c r="N113" s="187"/>
      <c r="O113" s="187"/>
      <c r="P113" s="188">
        <v>14</v>
      </c>
      <c r="Q113" s="104">
        <f>[1]pil14!$H$3</f>
        <v>30</v>
      </c>
      <c r="R113" s="104">
        <f>[1]pil14!$H$4</f>
        <v>70</v>
      </c>
      <c r="S113" s="42">
        <f>[10]pil14!$L$5</f>
        <v>1.6186402485426059</v>
      </c>
      <c r="T113" s="16">
        <v>1</v>
      </c>
      <c r="U113" s="42">
        <f t="shared" si="9"/>
        <v>1.6186402485426059</v>
      </c>
    </row>
    <row r="114" spans="2:28" ht="15.75" thickBot="1" x14ac:dyDescent="0.3">
      <c r="B114" s="187"/>
      <c r="C114" s="187"/>
      <c r="D114" s="188">
        <v>15</v>
      </c>
      <c r="E114" s="190">
        <f>[1]pil15!$H$3</f>
        <v>70</v>
      </c>
      <c r="F114" s="190">
        <f>[1]pil15!$H$4</f>
        <v>30</v>
      </c>
      <c r="G114" s="42">
        <f>[9]pil15!$L$5</f>
        <v>13.949188529782598</v>
      </c>
      <c r="H114" s="16">
        <v>1</v>
      </c>
      <c r="I114" s="42">
        <f t="shared" si="8"/>
        <v>13.949188529782598</v>
      </c>
      <c r="N114" s="187"/>
      <c r="O114" s="187"/>
      <c r="P114" s="188">
        <v>15</v>
      </c>
      <c r="Q114" s="190">
        <f>[1]pil15!$H$3</f>
        <v>70</v>
      </c>
      <c r="R114" s="190">
        <f>[1]pil15!$H$4</f>
        <v>30</v>
      </c>
      <c r="S114" s="42">
        <f>[10]pil15!$L$5</f>
        <v>22.197621734747546</v>
      </c>
      <c r="T114" s="16">
        <v>1</v>
      </c>
      <c r="U114" s="42">
        <f t="shared" si="9"/>
        <v>22.197621734747546</v>
      </c>
    </row>
    <row r="115" spans="2:28" x14ac:dyDescent="0.25">
      <c r="B115" s="187"/>
      <c r="C115" s="187"/>
      <c r="D115" s="188">
        <v>16</v>
      </c>
      <c r="E115" s="189">
        <f>[1]pil16!$H$3</f>
        <v>70</v>
      </c>
      <c r="F115" s="189">
        <f>[1]pil16!$H$4</f>
        <v>30</v>
      </c>
      <c r="G115" s="42">
        <f>[9]pil16!$L$5</f>
        <v>14.830414266758693</v>
      </c>
      <c r="H115" s="16">
        <v>1</v>
      </c>
      <c r="I115" s="42">
        <f t="shared" si="8"/>
        <v>14.830414266758693</v>
      </c>
      <c r="N115" s="187"/>
      <c r="O115" s="187"/>
      <c r="P115" s="188">
        <v>16</v>
      </c>
      <c r="Q115" s="189">
        <f>[1]pil16!$H$3</f>
        <v>70</v>
      </c>
      <c r="R115" s="189">
        <f>[1]pil16!$H$4</f>
        <v>30</v>
      </c>
      <c r="S115" s="42">
        <f>[10]pil16!$L$5</f>
        <v>22.197621734747546</v>
      </c>
      <c r="T115" s="16">
        <v>1</v>
      </c>
      <c r="U115" s="42">
        <f t="shared" si="9"/>
        <v>22.197621734747546</v>
      </c>
    </row>
    <row r="116" spans="2:28" x14ac:dyDescent="0.25">
      <c r="B116" s="187"/>
      <c r="C116" s="187"/>
      <c r="D116" s="188">
        <v>17</v>
      </c>
      <c r="E116" s="104">
        <f>[1]pil17!$H$3</f>
        <v>30</v>
      </c>
      <c r="F116" s="104">
        <f>[1]pil17!$H$4</f>
        <v>70</v>
      </c>
      <c r="G116" s="42">
        <f>[9]pil17!$L$5</f>
        <v>37.371674845041319</v>
      </c>
      <c r="H116" s="16">
        <v>1</v>
      </c>
      <c r="I116" s="42">
        <f t="shared" si="8"/>
        <v>37.371674845041319</v>
      </c>
      <c r="N116" s="187"/>
      <c r="O116" s="187"/>
      <c r="P116" s="188">
        <v>17</v>
      </c>
      <c r="Q116" s="104">
        <f>[1]pil17!$H$3</f>
        <v>30</v>
      </c>
      <c r="R116" s="104">
        <f>[1]pil17!$H$4</f>
        <v>70</v>
      </c>
      <c r="S116" s="42">
        <f>[10]pil17!$L$5</f>
        <v>11.113531924153465</v>
      </c>
      <c r="T116" s="16">
        <v>1</v>
      </c>
      <c r="U116" s="42">
        <f t="shared" si="9"/>
        <v>11.113531924153465</v>
      </c>
    </row>
    <row r="117" spans="2:28" x14ac:dyDescent="0.25">
      <c r="B117" s="187"/>
      <c r="C117" s="187"/>
      <c r="D117" s="188">
        <v>18</v>
      </c>
      <c r="E117" s="104">
        <f>[1]pil18!$H$3</f>
        <v>30</v>
      </c>
      <c r="F117" s="104">
        <f>[1]pil18!$H$4</f>
        <v>70</v>
      </c>
      <c r="G117" s="42">
        <f>[9]pil18!$L$5</f>
        <v>23.037706400109165</v>
      </c>
      <c r="H117" s="16">
        <v>1</v>
      </c>
      <c r="I117" s="42">
        <f t="shared" si="8"/>
        <v>23.037706400109165</v>
      </c>
      <c r="N117" s="187"/>
      <c r="O117" s="187"/>
      <c r="P117" s="188">
        <v>18</v>
      </c>
      <c r="Q117" s="104">
        <f>[1]pil18!$H$3</f>
        <v>30</v>
      </c>
      <c r="R117" s="104">
        <f>[1]pil18!$H$4</f>
        <v>70</v>
      </c>
      <c r="S117" s="42">
        <f>[10]pil18!$L$5</f>
        <v>11.113531924153465</v>
      </c>
      <c r="T117" s="16">
        <v>1</v>
      </c>
      <c r="U117" s="42">
        <f t="shared" si="9"/>
        <v>11.113531924153465</v>
      </c>
    </row>
    <row r="118" spans="2:28" ht="15.75" thickBot="1" x14ac:dyDescent="0.3">
      <c r="H118" s="29">
        <f>SUM(H100:H117)</f>
        <v>18</v>
      </c>
      <c r="I118" s="42">
        <f>SUM(G100:G117)</f>
        <v>371.20913974563905</v>
      </c>
      <c r="T118" s="29">
        <f>SUM(T100:T117)</f>
        <v>18</v>
      </c>
      <c r="U118" s="42">
        <f>SUM(S100:S117)</f>
        <v>344.51849631561947</v>
      </c>
    </row>
    <row r="121" spans="2:28" ht="15.75" thickBot="1" x14ac:dyDescent="0.3"/>
    <row r="122" spans="2:28" ht="15.75" thickBot="1" x14ac:dyDescent="0.3">
      <c r="B122" s="274" t="s">
        <v>220</v>
      </c>
      <c r="C122" s="295"/>
      <c r="D122" s="295"/>
      <c r="E122" s="295"/>
      <c r="F122" s="295"/>
      <c r="G122" s="296"/>
      <c r="N122" s="274" t="s">
        <v>220</v>
      </c>
      <c r="O122" s="295"/>
      <c r="P122" s="295"/>
      <c r="Q122" s="295"/>
      <c r="R122" s="295"/>
      <c r="S122" s="296"/>
      <c r="X122" s="307" t="s">
        <v>244</v>
      </c>
      <c r="Y122" s="307"/>
      <c r="Z122" s="307"/>
      <c r="AA122" s="307"/>
      <c r="AB122" s="307"/>
    </row>
    <row r="123" spans="2:28" x14ac:dyDescent="0.25">
      <c r="B123" s="69"/>
      <c r="C123" s="70"/>
      <c r="D123" s="181" t="s">
        <v>55</v>
      </c>
      <c r="E123" s="182" t="s">
        <v>74</v>
      </c>
      <c r="F123" s="183" t="s">
        <v>213</v>
      </c>
      <c r="G123" s="184" t="s">
        <v>214</v>
      </c>
      <c r="H123" s="185" t="s">
        <v>55</v>
      </c>
      <c r="I123" s="186" t="s">
        <v>215</v>
      </c>
      <c r="N123" s="69"/>
      <c r="O123" s="70"/>
      <c r="P123" s="181" t="s">
        <v>55</v>
      </c>
      <c r="Q123" s="182" t="s">
        <v>74</v>
      </c>
      <c r="R123" s="183" t="s">
        <v>213</v>
      </c>
      <c r="S123" s="184" t="s">
        <v>214</v>
      </c>
      <c r="T123" s="185" t="s">
        <v>55</v>
      </c>
      <c r="U123" s="186" t="s">
        <v>215</v>
      </c>
      <c r="X123" s="42">
        <f>G137</f>
        <v>32.552428674917628</v>
      </c>
      <c r="Y123" s="195">
        <f>G138</f>
        <v>10.444396181177224</v>
      </c>
      <c r="Z123" s="195">
        <f>G139</f>
        <v>10.444396181177224</v>
      </c>
      <c r="AA123" s="195">
        <f>G140</f>
        <v>40.615533635343475</v>
      </c>
      <c r="AB123" s="219">
        <f>G141</f>
        <v>32.552428674917628</v>
      </c>
    </row>
    <row r="124" spans="2:28" x14ac:dyDescent="0.25">
      <c r="B124" s="297"/>
      <c r="C124" s="297"/>
      <c r="D124" s="188">
        <v>1</v>
      </c>
      <c r="E124" s="189">
        <f>[1]pil1!$H$3</f>
        <v>30</v>
      </c>
      <c r="F124" s="189">
        <f>[1]pil1!$H$4</f>
        <v>70</v>
      </c>
      <c r="G124" s="42">
        <f>[11]pil1!$L$5</f>
        <v>32.552428674917628</v>
      </c>
      <c r="H124" s="16">
        <v>1</v>
      </c>
      <c r="I124" s="42">
        <f>G124*H124</f>
        <v>32.552428674917628</v>
      </c>
      <c r="N124" s="297"/>
      <c r="O124" s="297"/>
      <c r="P124" s="188">
        <v>1</v>
      </c>
      <c r="Q124" s="189">
        <f>[1]pil1!$H$3</f>
        <v>30</v>
      </c>
      <c r="R124" s="189">
        <f>[1]pil1!$H$4</f>
        <v>70</v>
      </c>
      <c r="S124" s="42">
        <f>[12]pil1!$L$5</f>
        <v>4.2168030667783087</v>
      </c>
      <c r="T124" s="16">
        <v>1</v>
      </c>
      <c r="U124" s="42">
        <f>S124*T124</f>
        <v>4.2168030667783087</v>
      </c>
      <c r="X124" s="42">
        <f>I132</f>
        <v>9.4738376006218186</v>
      </c>
      <c r="Y124" s="195">
        <f>G133</f>
        <v>10.444396181177224</v>
      </c>
      <c r="Z124" s="195">
        <f>G134</f>
        <v>40.615533635343475</v>
      </c>
      <c r="AA124" s="195">
        <f>G135</f>
        <v>9.574155308288109</v>
      </c>
      <c r="AB124" s="42">
        <f>G136</f>
        <v>4.2703451581472995</v>
      </c>
    </row>
    <row r="125" spans="2:28" x14ac:dyDescent="0.25">
      <c r="B125" s="297"/>
      <c r="C125" s="297"/>
      <c r="D125" s="188">
        <v>2</v>
      </c>
      <c r="E125" s="104">
        <f>[1]pil2!$H$3</f>
        <v>70</v>
      </c>
      <c r="F125" s="104">
        <f>[1]pil2!$H$4</f>
        <v>30</v>
      </c>
      <c r="G125" s="42">
        <f>[11]pil2!$L$5</f>
        <v>10.444396181177224</v>
      </c>
      <c r="H125" s="16">
        <v>1</v>
      </c>
      <c r="I125" s="42">
        <f t="shared" ref="I125:I141" si="10">G125*H125</f>
        <v>10.444396181177224</v>
      </c>
      <c r="N125" s="297"/>
      <c r="O125" s="297"/>
      <c r="P125" s="188">
        <v>2</v>
      </c>
      <c r="Q125" s="104">
        <f>[1]pil2!$H$3</f>
        <v>70</v>
      </c>
      <c r="R125" s="104">
        <f>[1]pil2!$H$4</f>
        <v>30</v>
      </c>
      <c r="S125" s="42">
        <f>[12]pil2!$L$5</f>
        <v>32.034162732961583</v>
      </c>
      <c r="T125" s="16">
        <v>1</v>
      </c>
      <c r="U125" s="42">
        <f t="shared" ref="U125:U141" si="11">S125*T125</f>
        <v>32.034162732961583</v>
      </c>
      <c r="X125" s="60">
        <f>I127</f>
        <v>9.4738376006218186</v>
      </c>
      <c r="Y125" s="218">
        <f>I128</f>
        <v>10.444396181177224</v>
      </c>
      <c r="Z125" s="218">
        <f>I129</f>
        <v>40.615533635343475</v>
      </c>
      <c r="AA125" s="218">
        <f>I130</f>
        <v>40.615533635343475</v>
      </c>
      <c r="AB125" s="60">
        <f>I131</f>
        <v>32.552428674917628</v>
      </c>
    </row>
    <row r="126" spans="2:28" x14ac:dyDescent="0.25">
      <c r="B126" s="187"/>
      <c r="C126" s="187"/>
      <c r="D126" s="188">
        <v>3</v>
      </c>
      <c r="E126" s="104">
        <f>[1]pil3!$H$3</f>
        <v>30</v>
      </c>
      <c r="F126" s="104">
        <f>[1]pil3!$H$4</f>
        <v>70</v>
      </c>
      <c r="G126" s="42">
        <f>[11]pil3!$L$5</f>
        <v>32.552428674917628</v>
      </c>
      <c r="H126" s="16">
        <v>1</v>
      </c>
      <c r="I126" s="42">
        <f t="shared" si="10"/>
        <v>32.552428674917628</v>
      </c>
      <c r="N126" s="187"/>
      <c r="O126" s="187"/>
      <c r="P126" s="188">
        <v>3</v>
      </c>
      <c r="Q126" s="104">
        <f>[1]pil3!$H$3</f>
        <v>30</v>
      </c>
      <c r="R126" s="104">
        <f>[1]pil3!$H$4</f>
        <v>70</v>
      </c>
      <c r="S126" s="42">
        <f>[12]pil3!$L$5</f>
        <v>9.3915043862933008</v>
      </c>
      <c r="T126" s="16">
        <v>1</v>
      </c>
      <c r="U126" s="42">
        <f t="shared" si="11"/>
        <v>9.3915043862933008</v>
      </c>
      <c r="X126" s="60">
        <f>I124</f>
        <v>32.552428674917628</v>
      </c>
      <c r="Y126" s="218">
        <f>I125</f>
        <v>10.444396181177224</v>
      </c>
      <c r="Z126" s="218">
        <f>I126</f>
        <v>32.552428674917628</v>
      </c>
    </row>
    <row r="127" spans="2:28" x14ac:dyDescent="0.25">
      <c r="B127" s="187"/>
      <c r="C127" s="187"/>
      <c r="D127" s="188">
        <v>4</v>
      </c>
      <c r="E127" s="104">
        <f>[1]pil4!$H$3</f>
        <v>70</v>
      </c>
      <c r="F127" s="104">
        <f>[1]pil4!$H$4</f>
        <v>30</v>
      </c>
      <c r="G127" s="42">
        <f>[11]pil4!$L$5</f>
        <v>9.4738376006218186</v>
      </c>
      <c r="H127" s="16">
        <v>1</v>
      </c>
      <c r="I127" s="42">
        <f t="shared" si="10"/>
        <v>9.4738376006218186</v>
      </c>
      <c r="N127" s="187"/>
      <c r="O127" s="187"/>
      <c r="P127" s="188">
        <v>4</v>
      </c>
      <c r="Q127" s="104">
        <f>[1]pil4!$H$3</f>
        <v>70</v>
      </c>
      <c r="R127" s="104">
        <f>[1]pil4!$H$4</f>
        <v>30</v>
      </c>
      <c r="S127" s="42">
        <f>[12]pil4!$L$5</f>
        <v>32.683659869451482</v>
      </c>
      <c r="T127" s="16">
        <v>1</v>
      </c>
      <c r="U127" s="42">
        <f t="shared" si="11"/>
        <v>32.683659869451482</v>
      </c>
    </row>
    <row r="128" spans="2:28" ht="15.75" thickBot="1" x14ac:dyDescent="0.3">
      <c r="B128" s="187"/>
      <c r="C128" s="187"/>
      <c r="D128" s="188">
        <v>5</v>
      </c>
      <c r="E128" s="190">
        <f>[1]pil5!$H$3</f>
        <v>70</v>
      </c>
      <c r="F128" s="190">
        <f>[1]pil5!$H$4</f>
        <v>30</v>
      </c>
      <c r="G128" s="42">
        <f>[11]pil5!$L$5</f>
        <v>10.444396181177224</v>
      </c>
      <c r="H128" s="16">
        <v>1</v>
      </c>
      <c r="I128" s="42">
        <f t="shared" si="10"/>
        <v>10.444396181177224</v>
      </c>
      <c r="N128" s="187"/>
      <c r="O128" s="187"/>
      <c r="P128" s="188">
        <v>5</v>
      </c>
      <c r="Q128" s="190">
        <f>[1]pil5!$H$3</f>
        <v>70</v>
      </c>
      <c r="R128" s="190">
        <f>[1]pil5!$H$4</f>
        <v>30</v>
      </c>
      <c r="S128" s="42">
        <f>[12]pil5!$L$5</f>
        <v>40.037861619309574</v>
      </c>
      <c r="T128" s="16">
        <v>1</v>
      </c>
      <c r="U128" s="42">
        <f t="shared" si="11"/>
        <v>40.037861619309574</v>
      </c>
    </row>
    <row r="129" spans="2:28" x14ac:dyDescent="0.25">
      <c r="B129" s="187"/>
      <c r="C129" s="187"/>
      <c r="D129" s="188">
        <v>6</v>
      </c>
      <c r="E129" s="189">
        <f>[1]pil6!$H$3</f>
        <v>30</v>
      </c>
      <c r="F129" s="189">
        <f>[1]pil6!$H$4</f>
        <v>70</v>
      </c>
      <c r="G129" s="42">
        <f>[11]pil6!$L$5</f>
        <v>40.615533635343475</v>
      </c>
      <c r="H129" s="16">
        <v>1</v>
      </c>
      <c r="I129" s="42">
        <f t="shared" si="10"/>
        <v>40.615533635343475</v>
      </c>
      <c r="N129" s="187"/>
      <c r="O129" s="187"/>
      <c r="P129" s="188">
        <v>6</v>
      </c>
      <c r="Q129" s="189">
        <f>[1]pil6!$H$3</f>
        <v>30</v>
      </c>
      <c r="R129" s="189">
        <f>[1]pil6!$H$4</f>
        <v>70</v>
      </c>
      <c r="S129" s="42">
        <f>[12]pil6!$L$5</f>
        <v>10.389801844567904</v>
      </c>
      <c r="T129" s="16">
        <v>1</v>
      </c>
      <c r="U129" s="42">
        <f t="shared" si="11"/>
        <v>10.389801844567904</v>
      </c>
      <c r="X129" s="307" t="s">
        <v>245</v>
      </c>
      <c r="Y129" s="307"/>
      <c r="Z129" s="307"/>
      <c r="AA129" s="307"/>
      <c r="AB129" s="307"/>
    </row>
    <row r="130" spans="2:28" x14ac:dyDescent="0.25">
      <c r="B130" s="187"/>
      <c r="C130" s="187"/>
      <c r="D130" s="188">
        <v>7</v>
      </c>
      <c r="E130" s="104">
        <f>[1]pil7!$H$3</f>
        <v>30</v>
      </c>
      <c r="F130" s="104">
        <f>[1]pil7!$H$4</f>
        <v>70</v>
      </c>
      <c r="G130" s="42">
        <f>[11]pil7!$L$5</f>
        <v>40.615533635343475</v>
      </c>
      <c r="H130" s="16">
        <v>1</v>
      </c>
      <c r="I130" s="42">
        <f t="shared" si="10"/>
        <v>40.615533635343475</v>
      </c>
      <c r="N130" s="187"/>
      <c r="O130" s="187"/>
      <c r="P130" s="188">
        <v>7</v>
      </c>
      <c r="Q130" s="104">
        <f>[1]pil7!$H$3</f>
        <v>30</v>
      </c>
      <c r="R130" s="104">
        <f>[1]pil7!$H$4</f>
        <v>70</v>
      </c>
      <c r="S130" s="42">
        <f>[12]pil7!$L$5</f>
        <v>9.3915043862933008</v>
      </c>
      <c r="T130" s="16">
        <v>1</v>
      </c>
      <c r="U130" s="42">
        <f t="shared" si="11"/>
        <v>9.3915043862933008</v>
      </c>
      <c r="X130" s="42">
        <f>S137</f>
        <v>4.2168030667783087</v>
      </c>
      <c r="Y130" s="195">
        <f>S138</f>
        <v>32.034162732961583</v>
      </c>
      <c r="Z130" s="195">
        <f>S139</f>
        <v>32.034162732961583</v>
      </c>
      <c r="AA130" s="195">
        <f>S140</f>
        <v>9.3915043862933008</v>
      </c>
      <c r="AB130" s="219">
        <f>S141</f>
        <v>9.3915043862933008</v>
      </c>
    </row>
    <row r="131" spans="2:28" x14ac:dyDescent="0.25">
      <c r="B131" s="187"/>
      <c r="C131" s="187"/>
      <c r="D131" s="188">
        <v>8</v>
      </c>
      <c r="E131" s="104">
        <f>[1]pil8!$H$3</f>
        <v>30</v>
      </c>
      <c r="F131" s="104">
        <f>[1]pil8!$H$4</f>
        <v>70</v>
      </c>
      <c r="G131" s="42">
        <f>[11]pil8!$L$5</f>
        <v>32.552428674917628</v>
      </c>
      <c r="H131" s="16">
        <v>1</v>
      </c>
      <c r="I131" s="42">
        <f t="shared" si="10"/>
        <v>32.552428674917628</v>
      </c>
      <c r="N131" s="187"/>
      <c r="O131" s="187"/>
      <c r="P131" s="188">
        <v>8</v>
      </c>
      <c r="Q131" s="104">
        <f>[1]pil8!$H$3</f>
        <v>30</v>
      </c>
      <c r="R131" s="104">
        <f>[1]pil8!$H$4</f>
        <v>70</v>
      </c>
      <c r="S131" s="42">
        <f>[12]pil8!$L$5</f>
        <v>9.3915043862933008</v>
      </c>
      <c r="T131" s="16">
        <v>1</v>
      </c>
      <c r="U131" s="42">
        <f t="shared" si="11"/>
        <v>9.3915043862933008</v>
      </c>
      <c r="X131" s="42">
        <f>S132</f>
        <v>32.683659869451482</v>
      </c>
      <c r="Y131" s="195">
        <f>S133</f>
        <v>40.037861619309574</v>
      </c>
      <c r="Z131" s="195">
        <f>S134</f>
        <v>10.389801844567904</v>
      </c>
      <c r="AA131" s="195">
        <f>S135</f>
        <v>40.037861619309574</v>
      </c>
      <c r="AB131" s="42">
        <f>S136</f>
        <v>40.037861619309574</v>
      </c>
    </row>
    <row r="132" spans="2:28" x14ac:dyDescent="0.25">
      <c r="B132" s="187"/>
      <c r="C132" s="187"/>
      <c r="D132" s="188">
        <v>9</v>
      </c>
      <c r="E132" s="104">
        <f>[1]pil9!$H$3</f>
        <v>70</v>
      </c>
      <c r="F132" s="104">
        <f>[1]pil9!$H$4</f>
        <v>30</v>
      </c>
      <c r="G132" s="42">
        <f>[11]pil9!$L$5</f>
        <v>9.4738376006218186</v>
      </c>
      <c r="H132" s="16">
        <v>1</v>
      </c>
      <c r="I132" s="42">
        <f t="shared" si="10"/>
        <v>9.4738376006218186</v>
      </c>
      <c r="N132" s="187"/>
      <c r="O132" s="187"/>
      <c r="P132" s="188">
        <v>9</v>
      </c>
      <c r="Q132" s="104">
        <f>[1]pil9!$H$3</f>
        <v>70</v>
      </c>
      <c r="R132" s="104">
        <f>[1]pil9!$H$4</f>
        <v>30</v>
      </c>
      <c r="S132" s="42">
        <f>[12]pil9!$L$5</f>
        <v>32.683659869451482</v>
      </c>
      <c r="T132" s="16">
        <v>1</v>
      </c>
      <c r="U132" s="42">
        <f t="shared" si="11"/>
        <v>32.683659869451482</v>
      </c>
      <c r="X132" s="60">
        <f>S127</f>
        <v>32.683659869451482</v>
      </c>
      <c r="Y132" s="218">
        <f>S128</f>
        <v>40.037861619309574</v>
      </c>
      <c r="Z132" s="218">
        <f>S129</f>
        <v>10.389801844567904</v>
      </c>
      <c r="AA132" s="218">
        <f>S130</f>
        <v>9.3915043862933008</v>
      </c>
      <c r="AB132" s="60">
        <f>S131</f>
        <v>9.3915043862933008</v>
      </c>
    </row>
    <row r="133" spans="2:28" ht="15.75" thickBot="1" x14ac:dyDescent="0.3">
      <c r="B133" s="187"/>
      <c r="C133" s="187"/>
      <c r="D133" s="188">
        <v>10</v>
      </c>
      <c r="E133" s="190">
        <f>[1]pil10!$H$3</f>
        <v>70</v>
      </c>
      <c r="F133" s="190">
        <f>[1]pil10!$H$4</f>
        <v>30</v>
      </c>
      <c r="G133" s="42">
        <f>[11]pil10!$L$5</f>
        <v>10.444396181177224</v>
      </c>
      <c r="H133" s="16">
        <v>1</v>
      </c>
      <c r="I133" s="42">
        <f t="shared" si="10"/>
        <v>10.444396181177224</v>
      </c>
      <c r="N133" s="187"/>
      <c r="O133" s="187"/>
      <c r="P133" s="188">
        <v>10</v>
      </c>
      <c r="Q133" s="190">
        <f>[1]pil10!$H$3</f>
        <v>70</v>
      </c>
      <c r="R133" s="190">
        <f>[1]pil10!$H$4</f>
        <v>30</v>
      </c>
      <c r="S133" s="42">
        <f>[12]pil10!$L$5</f>
        <v>40.037861619309574</v>
      </c>
      <c r="T133" s="16">
        <v>1</v>
      </c>
      <c r="U133" s="42">
        <f t="shared" si="11"/>
        <v>40.037861619309574</v>
      </c>
      <c r="X133" s="60">
        <f>S124</f>
        <v>4.2168030667783087</v>
      </c>
      <c r="Y133" s="218">
        <f>S125</f>
        <v>32.034162732961583</v>
      </c>
      <c r="Z133" s="218">
        <f>S126</f>
        <v>9.3915043862933008</v>
      </c>
    </row>
    <row r="134" spans="2:28" x14ac:dyDescent="0.25">
      <c r="B134" s="187"/>
      <c r="C134" s="187"/>
      <c r="D134" s="188">
        <v>11</v>
      </c>
      <c r="E134" s="189">
        <f>[1]pil11!$H$3</f>
        <v>30</v>
      </c>
      <c r="F134" s="189">
        <f>[1]pil11!$H$4</f>
        <v>70</v>
      </c>
      <c r="G134" s="42">
        <f>[11]pil11!$L$5</f>
        <v>40.615533635343475</v>
      </c>
      <c r="H134" s="16">
        <v>1</v>
      </c>
      <c r="I134" s="42">
        <f t="shared" si="10"/>
        <v>40.615533635343475</v>
      </c>
      <c r="N134" s="187"/>
      <c r="O134" s="187"/>
      <c r="P134" s="188">
        <v>11</v>
      </c>
      <c r="Q134" s="189">
        <f>[1]pil11!$H$3</f>
        <v>30</v>
      </c>
      <c r="R134" s="189">
        <f>[1]pil11!$H$4</f>
        <v>70</v>
      </c>
      <c r="S134" s="42">
        <f>[12]pil11!$L$5</f>
        <v>10.389801844567904</v>
      </c>
      <c r="T134" s="16">
        <v>1</v>
      </c>
      <c r="U134" s="42">
        <f t="shared" si="11"/>
        <v>10.389801844567904</v>
      </c>
    </row>
    <row r="135" spans="2:28" x14ac:dyDescent="0.25">
      <c r="B135" s="187"/>
      <c r="C135" s="187"/>
      <c r="D135" s="188">
        <v>12</v>
      </c>
      <c r="E135" s="104">
        <f>[1]pil12!$H$3</f>
        <v>70</v>
      </c>
      <c r="F135" s="104">
        <f>[1]pil12!$H$4</f>
        <v>30</v>
      </c>
      <c r="G135" s="42">
        <f>[11]pil12!$L$5</f>
        <v>9.574155308288109</v>
      </c>
      <c r="H135" s="16">
        <v>1</v>
      </c>
      <c r="I135" s="42">
        <f t="shared" si="10"/>
        <v>9.574155308288109</v>
      </c>
      <c r="N135" s="187"/>
      <c r="O135" s="187"/>
      <c r="P135" s="188">
        <v>12</v>
      </c>
      <c r="Q135" s="104">
        <f>[1]pil12!$H$3</f>
        <v>70</v>
      </c>
      <c r="R135" s="104">
        <f>[1]pil12!$H$4</f>
        <v>30</v>
      </c>
      <c r="S135" s="42">
        <f>[12]pil12!$L$5</f>
        <v>40.037861619309574</v>
      </c>
      <c r="T135" s="16">
        <v>1</v>
      </c>
      <c r="U135" s="42">
        <f t="shared" si="11"/>
        <v>40.037861619309574</v>
      </c>
    </row>
    <row r="136" spans="2:28" x14ac:dyDescent="0.25">
      <c r="B136" s="187"/>
      <c r="C136" s="187"/>
      <c r="D136" s="188">
        <v>13</v>
      </c>
      <c r="E136" s="104">
        <f>[1]pil13!$H$3</f>
        <v>70</v>
      </c>
      <c r="F136" s="104">
        <f>[1]pil13!$H$4</f>
        <v>30</v>
      </c>
      <c r="G136" s="42">
        <f>[11]pil13!$L$5</f>
        <v>4.2703451581472995</v>
      </c>
      <c r="H136" s="16">
        <v>1</v>
      </c>
      <c r="I136" s="42">
        <f t="shared" si="10"/>
        <v>4.2703451581472995</v>
      </c>
      <c r="N136" s="187"/>
      <c r="O136" s="187"/>
      <c r="P136" s="188">
        <v>13</v>
      </c>
      <c r="Q136" s="104">
        <f>[1]pil13!$H$3</f>
        <v>70</v>
      </c>
      <c r="R136" s="104">
        <f>[1]pil13!$H$4</f>
        <v>30</v>
      </c>
      <c r="S136" s="42">
        <f>[12]pil13!$L$5</f>
        <v>40.037861619309574</v>
      </c>
      <c r="T136" s="16">
        <v>1</v>
      </c>
      <c r="U136" s="42">
        <f t="shared" si="11"/>
        <v>40.037861619309574</v>
      </c>
    </row>
    <row r="137" spans="2:28" x14ac:dyDescent="0.25">
      <c r="B137" s="187"/>
      <c r="C137" s="187"/>
      <c r="D137" s="188">
        <v>14</v>
      </c>
      <c r="E137" s="104">
        <f>[1]pil14!$H$3</f>
        <v>30</v>
      </c>
      <c r="F137" s="104">
        <f>[1]pil14!$H$4</f>
        <v>70</v>
      </c>
      <c r="G137" s="42">
        <f>[11]pil14!$L$5</f>
        <v>32.552428674917628</v>
      </c>
      <c r="H137" s="16">
        <v>1</v>
      </c>
      <c r="I137" s="42">
        <f t="shared" si="10"/>
        <v>32.552428674917628</v>
      </c>
      <c r="N137" s="187"/>
      <c r="O137" s="187"/>
      <c r="P137" s="188">
        <v>14</v>
      </c>
      <c r="Q137" s="104">
        <f>[1]pil14!$H$3</f>
        <v>30</v>
      </c>
      <c r="R137" s="104">
        <f>[1]pil14!$H$4</f>
        <v>70</v>
      </c>
      <c r="S137" s="42">
        <f>[12]pil14!$L$5</f>
        <v>4.2168030667783087</v>
      </c>
      <c r="T137" s="16">
        <v>1</v>
      </c>
      <c r="U137" s="42">
        <f t="shared" si="11"/>
        <v>4.2168030667783087</v>
      </c>
    </row>
    <row r="138" spans="2:28" ht="15.75" thickBot="1" x14ac:dyDescent="0.3">
      <c r="B138" s="187"/>
      <c r="C138" s="187"/>
      <c r="D138" s="188">
        <v>15</v>
      </c>
      <c r="E138" s="190">
        <f>[1]pil15!$H$3</f>
        <v>70</v>
      </c>
      <c r="F138" s="190">
        <f>[1]pil15!$H$4</f>
        <v>30</v>
      </c>
      <c r="G138" s="42">
        <f>[11]pil15!$L$5</f>
        <v>10.444396181177224</v>
      </c>
      <c r="H138" s="16">
        <v>1</v>
      </c>
      <c r="I138" s="42">
        <f t="shared" si="10"/>
        <v>10.444396181177224</v>
      </c>
      <c r="N138" s="187"/>
      <c r="O138" s="187"/>
      <c r="P138" s="188">
        <v>15</v>
      </c>
      <c r="Q138" s="190">
        <f>[1]pil15!$H$3</f>
        <v>70</v>
      </c>
      <c r="R138" s="190">
        <f>[1]pil15!$H$4</f>
        <v>30</v>
      </c>
      <c r="S138" s="42">
        <f>[12]pil15!$L$5</f>
        <v>32.034162732961583</v>
      </c>
      <c r="T138" s="16">
        <v>1</v>
      </c>
      <c r="U138" s="42">
        <f t="shared" si="11"/>
        <v>32.034162732961583</v>
      </c>
    </row>
    <row r="139" spans="2:28" x14ac:dyDescent="0.25">
      <c r="B139" s="187"/>
      <c r="C139" s="187"/>
      <c r="D139" s="188">
        <v>16</v>
      </c>
      <c r="E139" s="189">
        <f>[1]pil16!$H$3</f>
        <v>70</v>
      </c>
      <c r="F139" s="189">
        <f>[1]pil16!$H$4</f>
        <v>30</v>
      </c>
      <c r="G139" s="42">
        <f>[11]pil16!$L$5</f>
        <v>10.444396181177224</v>
      </c>
      <c r="H139" s="16">
        <v>1</v>
      </c>
      <c r="I139" s="42">
        <f t="shared" si="10"/>
        <v>10.444396181177224</v>
      </c>
      <c r="N139" s="187"/>
      <c r="O139" s="187"/>
      <c r="P139" s="188">
        <v>16</v>
      </c>
      <c r="Q139" s="189">
        <f>[1]pil16!$H$3</f>
        <v>70</v>
      </c>
      <c r="R139" s="189">
        <f>[1]pil16!$H$4</f>
        <v>30</v>
      </c>
      <c r="S139" s="42">
        <f>[12]pil16!$L$5</f>
        <v>32.034162732961583</v>
      </c>
      <c r="T139" s="16">
        <v>1</v>
      </c>
      <c r="U139" s="42">
        <f t="shared" si="11"/>
        <v>32.034162732961583</v>
      </c>
    </row>
    <row r="140" spans="2:28" x14ac:dyDescent="0.25">
      <c r="B140" s="187"/>
      <c r="C140" s="187"/>
      <c r="D140" s="188">
        <v>17</v>
      </c>
      <c r="E140" s="104">
        <f>[1]pil17!$H$3</f>
        <v>30</v>
      </c>
      <c r="F140" s="104">
        <f>[1]pil17!$H$4</f>
        <v>70</v>
      </c>
      <c r="G140" s="42">
        <f>[11]pil17!$L$5</f>
        <v>40.615533635343475</v>
      </c>
      <c r="H140" s="16">
        <v>1</v>
      </c>
      <c r="I140" s="42">
        <f t="shared" si="10"/>
        <v>40.615533635343475</v>
      </c>
      <c r="N140" s="187"/>
      <c r="O140" s="187"/>
      <c r="P140" s="188">
        <v>17</v>
      </c>
      <c r="Q140" s="104">
        <f>[1]pil17!$H$3</f>
        <v>30</v>
      </c>
      <c r="R140" s="104">
        <f>[1]pil17!$H$4</f>
        <v>70</v>
      </c>
      <c r="S140" s="42">
        <f>[12]pil17!$L$5</f>
        <v>9.3915043862933008</v>
      </c>
      <c r="T140" s="16">
        <v>1</v>
      </c>
      <c r="U140" s="42">
        <f t="shared" si="11"/>
        <v>9.3915043862933008</v>
      </c>
    </row>
    <row r="141" spans="2:28" x14ac:dyDescent="0.25">
      <c r="B141" s="187"/>
      <c r="C141" s="187"/>
      <c r="D141" s="188">
        <v>18</v>
      </c>
      <c r="E141" s="104">
        <f>[1]pil18!$H$3</f>
        <v>30</v>
      </c>
      <c r="F141" s="104">
        <f>[1]pil18!$H$4</f>
        <v>70</v>
      </c>
      <c r="G141" s="42">
        <f>[11]pil18!$L$5</f>
        <v>32.552428674917628</v>
      </c>
      <c r="H141" s="16">
        <v>1</v>
      </c>
      <c r="I141" s="42">
        <f t="shared" si="10"/>
        <v>32.552428674917628</v>
      </c>
      <c r="N141" s="187"/>
      <c r="O141" s="187"/>
      <c r="P141" s="188">
        <v>18</v>
      </c>
      <c r="Q141" s="104">
        <f>[1]pil18!$H$3</f>
        <v>30</v>
      </c>
      <c r="R141" s="104">
        <f>[1]pil18!$H$4</f>
        <v>70</v>
      </c>
      <c r="S141" s="42">
        <f>[12]pil18!$L$5</f>
        <v>9.3915043862933008</v>
      </c>
      <c r="T141" s="16">
        <v>1</v>
      </c>
      <c r="U141" s="42">
        <f t="shared" si="11"/>
        <v>9.3915043862933008</v>
      </c>
    </row>
    <row r="142" spans="2:28" ht="15.75" thickBot="1" x14ac:dyDescent="0.3">
      <c r="H142" s="29">
        <f>SUM(H124:H141)</f>
        <v>18</v>
      </c>
      <c r="I142" s="42">
        <f>SUM(G124:G141)</f>
        <v>410.23843448952715</v>
      </c>
      <c r="T142" s="29">
        <f>SUM(T124:T141)</f>
        <v>18</v>
      </c>
      <c r="U142" s="42">
        <f>SUM(S124:S141)</f>
        <v>397.79198616918495</v>
      </c>
    </row>
    <row r="145" spans="2:11" ht="15.75" thickBot="1" x14ac:dyDescent="0.3"/>
    <row r="146" spans="2:11" x14ac:dyDescent="0.25">
      <c r="B146" s="301"/>
      <c r="C146" s="302"/>
      <c r="D146" s="303"/>
      <c r="E146" s="194" t="s">
        <v>224</v>
      </c>
      <c r="F146" s="26" t="s">
        <v>225</v>
      </c>
      <c r="J146" s="187" t="s">
        <v>226</v>
      </c>
      <c r="K146" s="187" t="s">
        <v>227</v>
      </c>
    </row>
    <row r="147" spans="2:11" x14ac:dyDescent="0.25">
      <c r="B147" s="298" t="s">
        <v>123</v>
      </c>
      <c r="C147" s="299"/>
      <c r="D147" s="300"/>
      <c r="E147" s="195">
        <f>I24</f>
        <v>559.04493564493828</v>
      </c>
      <c r="F147" s="47">
        <f>U24</f>
        <v>406.9218206380641</v>
      </c>
      <c r="J147" s="106">
        <f>I24/MAX(G6:G23)</f>
        <v>6.5003026458471176</v>
      </c>
      <c r="K147" s="106">
        <f>U24/MAX(S6:S23)</f>
        <v>8.8789855157846418</v>
      </c>
    </row>
    <row r="148" spans="2:11" x14ac:dyDescent="0.25">
      <c r="B148" s="298">
        <v>5</v>
      </c>
      <c r="C148" s="299"/>
      <c r="D148" s="300"/>
      <c r="E148" s="195">
        <f>I47</f>
        <v>280.11504548777816</v>
      </c>
      <c r="F148" s="47">
        <f>U47</f>
        <v>257.26276095631596</v>
      </c>
      <c r="J148" s="106">
        <f>I47/MAX(G29:G46)</f>
        <v>10.237406502704388</v>
      </c>
      <c r="K148" s="106">
        <f>U47/MAX(S29:S46)</f>
        <v>9.7377763779379798</v>
      </c>
    </row>
    <row r="149" spans="2:11" x14ac:dyDescent="0.25">
      <c r="B149" s="298">
        <v>4</v>
      </c>
      <c r="C149" s="299"/>
      <c r="D149" s="300"/>
      <c r="E149" s="196">
        <f>I70</f>
        <v>323.56973572373698</v>
      </c>
      <c r="F149" s="192">
        <f>U70</f>
        <v>298.37753336301182</v>
      </c>
      <c r="J149" s="106">
        <f>I70/MAX(G52:G69)</f>
        <v>10.092419219137645</v>
      </c>
      <c r="K149" s="106">
        <f>U70/MAX(S52:S69)</f>
        <v>9.6129000680137722</v>
      </c>
    </row>
    <row r="150" spans="2:11" x14ac:dyDescent="0.25">
      <c r="B150" s="298">
        <v>3</v>
      </c>
      <c r="C150" s="299"/>
      <c r="D150" s="300"/>
      <c r="E150" s="196">
        <f>I94</f>
        <v>371.20913974563905</v>
      </c>
      <c r="F150" s="192">
        <f>U94</f>
        <v>344.51849631561947</v>
      </c>
      <c r="J150" s="106">
        <f>I94/MAX(G76:G93)</f>
        <v>9.932900820871108</v>
      </c>
      <c r="K150" s="106">
        <f>U94/MAX(S76:S93)</f>
        <v>9.5016890745627798</v>
      </c>
    </row>
    <row r="151" spans="2:11" x14ac:dyDescent="0.25">
      <c r="B151" s="298">
        <v>2</v>
      </c>
      <c r="C151" s="299"/>
      <c r="D151" s="300"/>
      <c r="E151" s="196">
        <f>I118</f>
        <v>371.20913974563905</v>
      </c>
      <c r="F151" s="192">
        <f>U118</f>
        <v>344.51849631561947</v>
      </c>
      <c r="J151" s="106">
        <f>I118/MAX(G100:G117)</f>
        <v>9.932900820871108</v>
      </c>
      <c r="K151" s="106">
        <f>U118/(MAX(S100:S117))</f>
        <v>9.5016890745627798</v>
      </c>
    </row>
    <row r="152" spans="2:11" ht="15.75" thickBot="1" x14ac:dyDescent="0.3">
      <c r="B152" s="304" t="s">
        <v>124</v>
      </c>
      <c r="C152" s="305"/>
      <c r="D152" s="306"/>
      <c r="E152" s="197">
        <f>I142</f>
        <v>410.23843448952715</v>
      </c>
      <c r="F152" s="193">
        <f>U142</f>
        <v>397.79198616918495</v>
      </c>
      <c r="J152" s="106">
        <f>I142/MAX(G124:G141)</f>
        <v>10.100530456468983</v>
      </c>
      <c r="K152" s="106">
        <f>U142/(MAX(S124:S141))</f>
        <v>9.9353954002712452</v>
      </c>
    </row>
  </sheetData>
  <mergeCells count="56">
    <mergeCell ref="X122:AB122"/>
    <mergeCell ref="X129:AB129"/>
    <mergeCell ref="X57:AB57"/>
    <mergeCell ref="X74:AB74"/>
    <mergeCell ref="X81:AB81"/>
    <mergeCell ref="X98:AB98"/>
    <mergeCell ref="X105:AB105"/>
    <mergeCell ref="X4:AB4"/>
    <mergeCell ref="X11:AB11"/>
    <mergeCell ref="X27:AB27"/>
    <mergeCell ref="X34:AB34"/>
    <mergeCell ref="X50:AB50"/>
    <mergeCell ref="B148:D148"/>
    <mergeCell ref="B149:D149"/>
    <mergeCell ref="B150:D150"/>
    <mergeCell ref="B151:D151"/>
    <mergeCell ref="B152:D152"/>
    <mergeCell ref="N122:S122"/>
    <mergeCell ref="N124:O124"/>
    <mergeCell ref="N125:O125"/>
    <mergeCell ref="B147:D147"/>
    <mergeCell ref="B146:D146"/>
    <mergeCell ref="B125:C125"/>
    <mergeCell ref="N4:S4"/>
    <mergeCell ref="N6:O6"/>
    <mergeCell ref="N7:O7"/>
    <mergeCell ref="N27:S27"/>
    <mergeCell ref="N29:O29"/>
    <mergeCell ref="N30:O30"/>
    <mergeCell ref="N50:S50"/>
    <mergeCell ref="N52:O52"/>
    <mergeCell ref="N53:O53"/>
    <mergeCell ref="N74:S74"/>
    <mergeCell ref="N76:O76"/>
    <mergeCell ref="N77:O77"/>
    <mergeCell ref="N98:S98"/>
    <mergeCell ref="N100:O100"/>
    <mergeCell ref="N101:O101"/>
    <mergeCell ref="B98:G98"/>
    <mergeCell ref="B100:C100"/>
    <mergeCell ref="B101:C101"/>
    <mergeCell ref="B122:G122"/>
    <mergeCell ref="B124:C124"/>
    <mergeCell ref="B27:G27"/>
    <mergeCell ref="B29:C29"/>
    <mergeCell ref="B30:C30"/>
    <mergeCell ref="B50:G50"/>
    <mergeCell ref="A1:F1"/>
    <mergeCell ref="B4:G4"/>
    <mergeCell ref="B6:C6"/>
    <mergeCell ref="B7:C7"/>
    <mergeCell ref="B52:C52"/>
    <mergeCell ref="B53:C53"/>
    <mergeCell ref="B74:G74"/>
    <mergeCell ref="B76:C76"/>
    <mergeCell ref="B77:C7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0"/>
  <sheetViews>
    <sheetView topLeftCell="F10" workbookViewId="0">
      <selection activeCell="V15" sqref="V15:AA21"/>
    </sheetView>
  </sheetViews>
  <sheetFormatPr defaultRowHeight="15" x14ac:dyDescent="0.25"/>
  <cols>
    <col min="1" max="1" width="14.5703125" customWidth="1"/>
    <col min="16" max="16" width="11.5703125" bestFit="1" customWidth="1"/>
    <col min="18" max="18" width="9.28515625" customWidth="1"/>
    <col min="19" max="19" width="16.42578125" customWidth="1"/>
    <col min="31" max="31" width="13.28515625" customWidth="1"/>
    <col min="32" max="32" width="14.140625" customWidth="1"/>
    <col min="33" max="33" width="13.28515625" customWidth="1"/>
  </cols>
  <sheetData>
    <row r="1" spans="1:28" ht="15.75" thickBot="1" x14ac:dyDescent="0.3">
      <c r="C1" s="286" t="s">
        <v>260</v>
      </c>
      <c r="D1" s="280"/>
      <c r="E1" s="280"/>
      <c r="F1" s="280"/>
      <c r="G1" s="280"/>
      <c r="H1" s="280"/>
      <c r="I1" s="280"/>
      <c r="J1" s="280"/>
      <c r="K1" s="281"/>
      <c r="L1" s="1"/>
      <c r="M1" s="1"/>
      <c r="N1" s="1"/>
    </row>
    <row r="2" spans="1:28" x14ac:dyDescent="0.25">
      <c r="Q2" s="8"/>
      <c r="R2" s="8"/>
      <c r="S2" s="8"/>
      <c r="T2" s="8"/>
      <c r="U2" s="8"/>
      <c r="V2" s="8"/>
      <c r="W2" s="8"/>
    </row>
    <row r="3" spans="1:28" x14ac:dyDescent="0.25">
      <c r="L3" t="s">
        <v>17</v>
      </c>
      <c r="M3" t="s">
        <v>246</v>
      </c>
      <c r="N3" t="s">
        <v>247</v>
      </c>
      <c r="Q3" s="8"/>
    </row>
    <row r="4" spans="1:28" x14ac:dyDescent="0.25">
      <c r="A4" s="145"/>
      <c r="B4" s="227">
        <v>2.15</v>
      </c>
      <c r="C4" s="227"/>
      <c r="D4" s="227">
        <v>7.7</v>
      </c>
      <c r="E4" s="227"/>
      <c r="F4" s="227">
        <v>12.65</v>
      </c>
      <c r="G4" s="227"/>
      <c r="H4" s="227">
        <v>18.05</v>
      </c>
      <c r="I4" s="227"/>
      <c r="J4" s="227">
        <v>23.05</v>
      </c>
      <c r="K4" s="227">
        <v>23.25</v>
      </c>
      <c r="L4" s="145"/>
      <c r="M4" s="145"/>
      <c r="N4" s="145"/>
      <c r="Q4" s="8"/>
    </row>
    <row r="5" spans="1:28" x14ac:dyDescent="0.25">
      <c r="A5" s="231">
        <v>0.65</v>
      </c>
      <c r="B5" s="229">
        <f>rigidezza!X123</f>
        <v>32.552428674917628</v>
      </c>
      <c r="H5" s="228">
        <f>rigidezza!AA123</f>
        <v>40.615533635343475</v>
      </c>
      <c r="J5" s="228">
        <f>rigidezza!AB123</f>
        <v>32.552428674917628</v>
      </c>
      <c r="K5" s="220"/>
      <c r="L5" s="145">
        <f>SUM(B5:J5)</f>
        <v>105.72039098517874</v>
      </c>
      <c r="M5" s="145">
        <f>L5*A5</f>
        <v>68.718254140366184</v>
      </c>
      <c r="N5" s="145"/>
      <c r="Q5" s="8"/>
      <c r="S5" s="222" t="s">
        <v>243</v>
      </c>
      <c r="T5" s="222" t="s">
        <v>224</v>
      </c>
      <c r="U5" s="222" t="s">
        <v>225</v>
      </c>
      <c r="V5" s="233" t="s">
        <v>248</v>
      </c>
      <c r="W5" s="234" t="s">
        <v>249</v>
      </c>
      <c r="X5" s="16" t="s">
        <v>250</v>
      </c>
      <c r="Y5" s="237" t="s">
        <v>251</v>
      </c>
      <c r="Z5" s="237" t="s">
        <v>252</v>
      </c>
      <c r="AA5" s="16" t="s">
        <v>253</v>
      </c>
    </row>
    <row r="6" spans="1:28" x14ac:dyDescent="0.25">
      <c r="A6" s="231">
        <v>0.85</v>
      </c>
      <c r="D6" s="223">
        <f>rigidezza!Y123</f>
        <v>10.444396181177224</v>
      </c>
      <c r="F6" s="223">
        <f>rigidezza!Z123</f>
        <v>10.444396181177224</v>
      </c>
      <c r="J6" s="8"/>
      <c r="K6" s="220"/>
      <c r="L6" s="145">
        <f>SUM(B6:J6)</f>
        <v>20.888792362354447</v>
      </c>
      <c r="M6" s="145">
        <f t="shared" ref="M6:M16" si="0">L6*A6</f>
        <v>17.75547350800128</v>
      </c>
      <c r="N6" s="145"/>
      <c r="Q6" s="8"/>
      <c r="S6" s="187" t="s">
        <v>123</v>
      </c>
      <c r="T6" s="42">
        <f>rigidezza!E147</f>
        <v>559.04493564493828</v>
      </c>
      <c r="U6" s="42">
        <f>rigidezza!F147</f>
        <v>406.9218206380641</v>
      </c>
      <c r="V6" s="235">
        <f>P229</f>
        <v>12.535604581749965</v>
      </c>
      <c r="W6" s="235">
        <v>10.91</v>
      </c>
      <c r="X6" s="42">
        <f t="shared" ref="X6:X11" si="1">V6-W6</f>
        <v>1.6256045817499647</v>
      </c>
      <c r="Y6" s="236">
        <f>P213</f>
        <v>6.8599139679247445</v>
      </c>
      <c r="Z6" s="236">
        <v>7.97</v>
      </c>
      <c r="AA6" s="42">
        <f t="shared" ref="AA6:AA11" si="2">Y6-Z6</f>
        <v>-1.1100860320752552</v>
      </c>
    </row>
    <row r="7" spans="1:28" x14ac:dyDescent="0.25">
      <c r="A7" s="231"/>
      <c r="J7" s="8"/>
      <c r="K7" s="220"/>
      <c r="L7" s="145"/>
      <c r="M7" s="145"/>
      <c r="N7" s="145"/>
      <c r="Q7" s="8"/>
      <c r="S7" s="187">
        <v>5</v>
      </c>
      <c r="T7" s="42">
        <f>rigidezza!E148</f>
        <v>280.11504548777816</v>
      </c>
      <c r="U7" s="42">
        <f>rigidezza!F148</f>
        <v>257.26276095631596</v>
      </c>
      <c r="V7" s="235">
        <f>P191</f>
        <v>12.322289485217016</v>
      </c>
      <c r="W7" s="235">
        <v>11.02</v>
      </c>
      <c r="X7" s="42">
        <f t="shared" si="1"/>
        <v>1.3022894852170168</v>
      </c>
      <c r="Y7" s="236">
        <f>P175</f>
        <v>8.0494391170740194</v>
      </c>
      <c r="Z7" s="236">
        <v>8.5399999999999991</v>
      </c>
      <c r="AA7" s="42">
        <f t="shared" si="2"/>
        <v>-0.49056088292597977</v>
      </c>
    </row>
    <row r="8" spans="1:28" x14ac:dyDescent="0.25">
      <c r="A8" s="231">
        <v>5.8</v>
      </c>
      <c r="F8" s="221">
        <f>rigidezza!Z124</f>
        <v>40.615533635343475</v>
      </c>
      <c r="J8" s="8"/>
      <c r="K8" s="220"/>
      <c r="L8" s="145">
        <f>SUM(B8:J8)</f>
        <v>40.615533635343475</v>
      </c>
      <c r="M8" s="145">
        <f t="shared" si="0"/>
        <v>235.57009508499215</v>
      </c>
      <c r="N8" s="145"/>
      <c r="S8" s="187">
        <v>4</v>
      </c>
      <c r="T8" s="42">
        <f>rigidezza!E149</f>
        <v>323.56973572373698</v>
      </c>
      <c r="U8" s="42">
        <f>rigidezza!F149</f>
        <v>298.37753336301182</v>
      </c>
      <c r="V8" s="235">
        <f>P153</f>
        <v>12.229836896744343</v>
      </c>
      <c r="W8" s="235">
        <v>11.02</v>
      </c>
      <c r="X8" s="42">
        <f t="shared" si="1"/>
        <v>1.2098368967443438</v>
      </c>
      <c r="Y8" s="236">
        <f>P137</f>
        <v>8.0566949928836546</v>
      </c>
      <c r="Z8" s="236">
        <v>8.5399999999999991</v>
      </c>
      <c r="AA8" s="42">
        <f t="shared" si="2"/>
        <v>-0.4833050071163445</v>
      </c>
    </row>
    <row r="9" spans="1:28" x14ac:dyDescent="0.25">
      <c r="A9" s="231">
        <v>6</v>
      </c>
      <c r="B9" s="230">
        <f>rigidezza!X124</f>
        <v>9.4738376006218186</v>
      </c>
      <c r="D9" s="223">
        <f>rigidezza!Y124</f>
        <v>10.444396181177224</v>
      </c>
      <c r="H9" s="223">
        <f>rigidezza!AA124</f>
        <v>9.574155308288109</v>
      </c>
      <c r="J9" s="8"/>
      <c r="K9" s="223">
        <f>rigidezza!AB124</f>
        <v>4.2703451581472995</v>
      </c>
      <c r="L9" s="145">
        <f>SUM(B9:K9)</f>
        <v>33.762734248234452</v>
      </c>
      <c r="M9" s="145">
        <f t="shared" si="0"/>
        <v>202.57640548940671</v>
      </c>
      <c r="N9" s="145"/>
      <c r="S9" s="187">
        <v>3</v>
      </c>
      <c r="T9" s="42">
        <f>rigidezza!E150</f>
        <v>371.20913974563905</v>
      </c>
      <c r="U9" s="42">
        <f>rigidezza!F150</f>
        <v>344.51849631561947</v>
      </c>
      <c r="V9" s="235">
        <f>P115</f>
        <v>12.157511381028584</v>
      </c>
      <c r="W9" s="235">
        <v>11.02</v>
      </c>
      <c r="X9" s="42">
        <f t="shared" si="1"/>
        <v>1.1375113810285846</v>
      </c>
      <c r="Y9" s="236">
        <f>P99</f>
        <v>8.0936357996367203</v>
      </c>
      <c r="Z9" s="236">
        <v>8.5399999999999991</v>
      </c>
      <c r="AA9" s="42">
        <f t="shared" si="2"/>
        <v>-0.44636420036327884</v>
      </c>
    </row>
    <row r="10" spans="1:28" x14ac:dyDescent="0.25">
      <c r="A10" s="231"/>
      <c r="J10" s="8"/>
      <c r="K10" s="220"/>
      <c r="L10" s="145"/>
      <c r="M10" s="145"/>
      <c r="N10" s="145"/>
      <c r="S10" s="187">
        <v>2</v>
      </c>
      <c r="T10" s="42">
        <f>rigidezza!E151</f>
        <v>371.20913974563905</v>
      </c>
      <c r="U10" s="42">
        <f>rigidezza!F151</f>
        <v>344.51849631561947</v>
      </c>
      <c r="V10" s="235">
        <f>P76</f>
        <v>12.157511381028584</v>
      </c>
      <c r="W10" s="235">
        <v>11.02</v>
      </c>
      <c r="X10" s="42">
        <f t="shared" si="1"/>
        <v>1.1375113810285846</v>
      </c>
      <c r="Y10" s="236">
        <f>P60</f>
        <v>8.0936357996367203</v>
      </c>
      <c r="Z10" s="236">
        <v>8.5399999999999991</v>
      </c>
      <c r="AA10" s="42">
        <f t="shared" si="2"/>
        <v>-0.44636420036327884</v>
      </c>
    </row>
    <row r="11" spans="1:28" x14ac:dyDescent="0.25">
      <c r="A11" s="231">
        <v>11.6</v>
      </c>
      <c r="B11" s="230">
        <f>rigidezza!X125</f>
        <v>9.4738376006218186</v>
      </c>
      <c r="J11" s="8"/>
      <c r="K11" s="220"/>
      <c r="L11" s="145">
        <f>SUM(B11:J11)</f>
        <v>9.4738376006218186</v>
      </c>
      <c r="M11" s="145">
        <f t="shared" si="0"/>
        <v>109.89651616721309</v>
      </c>
      <c r="N11" s="145"/>
      <c r="S11" s="187" t="s">
        <v>124</v>
      </c>
      <c r="T11" s="42">
        <f>rigidezza!E152</f>
        <v>410.23843448952715</v>
      </c>
      <c r="U11" s="42">
        <f>rigidezza!F152</f>
        <v>397.79198616918495</v>
      </c>
      <c r="V11" s="235">
        <f>P34</f>
        <v>11.264739719773733</v>
      </c>
      <c r="W11" s="235">
        <v>10.87</v>
      </c>
      <c r="X11" s="42">
        <f t="shared" si="1"/>
        <v>0.39473971977373346</v>
      </c>
      <c r="Y11" s="236">
        <f>P18</f>
        <v>8.2757509889323178</v>
      </c>
      <c r="Z11" s="236">
        <v>7.94</v>
      </c>
      <c r="AA11" s="42">
        <f t="shared" si="2"/>
        <v>0.33575098893231736</v>
      </c>
    </row>
    <row r="12" spans="1:28" ht="15.75" thickBot="1" x14ac:dyDescent="0.3">
      <c r="A12" s="231">
        <v>11.8</v>
      </c>
      <c r="D12" s="223">
        <f>rigidezza!Y125</f>
        <v>10.444396181177224</v>
      </c>
      <c r="F12" s="221">
        <f>rigidezza!Z125</f>
        <v>40.615533635343475</v>
      </c>
      <c r="G12" s="208"/>
      <c r="H12" s="221">
        <f>rigidezza!AA125</f>
        <v>40.615533635343475</v>
      </c>
      <c r="I12" s="216"/>
      <c r="J12" s="221">
        <f>rigidezza!AB125</f>
        <v>32.552428674917628</v>
      </c>
      <c r="K12" s="217"/>
      <c r="L12" s="145">
        <f>SUM(B12:J12)</f>
        <v>124.2278921267818</v>
      </c>
      <c r="M12" s="145">
        <f t="shared" si="0"/>
        <v>1465.8891270960253</v>
      </c>
      <c r="N12" s="145"/>
      <c r="R12" s="8"/>
      <c r="S12" s="8"/>
      <c r="T12" s="8"/>
      <c r="U12" s="8"/>
      <c r="V12" s="8"/>
    </row>
    <row r="13" spans="1:28" ht="15.75" thickBot="1" x14ac:dyDescent="0.3">
      <c r="A13" s="231"/>
      <c r="F13" s="215"/>
      <c r="L13" s="145"/>
      <c r="M13" s="145"/>
      <c r="N13" s="145"/>
      <c r="R13" s="8"/>
      <c r="S13" s="8"/>
      <c r="T13" s="8"/>
      <c r="U13" s="8"/>
      <c r="V13" s="8"/>
      <c r="W13" s="308" t="s">
        <v>254</v>
      </c>
      <c r="X13" s="309"/>
      <c r="AA13" s="308" t="s">
        <v>255</v>
      </c>
      <c r="AB13" s="309"/>
    </row>
    <row r="14" spans="1:28" x14ac:dyDescent="0.25">
      <c r="A14" s="231"/>
      <c r="F14" s="220"/>
      <c r="L14" s="145"/>
      <c r="M14" s="145"/>
      <c r="N14" s="145"/>
    </row>
    <row r="15" spans="1:28" x14ac:dyDescent="0.25">
      <c r="A15" s="231">
        <v>17.05</v>
      </c>
      <c r="D15" s="223">
        <f>rigidezza!Y126</f>
        <v>10.444396181177224</v>
      </c>
      <c r="E15" s="224"/>
      <c r="F15" s="221">
        <f>rigidezza!Z126</f>
        <v>32.552428674917628</v>
      </c>
      <c r="L15" s="145">
        <f>SUM(B15:J15)</f>
        <v>42.996824856094854</v>
      </c>
      <c r="M15" s="145">
        <f t="shared" si="0"/>
        <v>733.09586379641723</v>
      </c>
      <c r="N15" s="145"/>
      <c r="X15" s="106">
        <v>0.05</v>
      </c>
    </row>
    <row r="16" spans="1:28" x14ac:dyDescent="0.25">
      <c r="A16" s="231">
        <v>17.25</v>
      </c>
      <c r="B16" s="229">
        <f>rigidezza!X126</f>
        <v>32.552428674917628</v>
      </c>
      <c r="C16" s="216"/>
      <c r="D16" s="216"/>
      <c r="E16" s="216"/>
      <c r="F16" s="217"/>
      <c r="L16" s="145">
        <f>SUM(B16:J16)</f>
        <v>32.552428674917628</v>
      </c>
      <c r="M16" s="145">
        <f t="shared" si="0"/>
        <v>561.52939464232907</v>
      </c>
      <c r="N16" s="145"/>
      <c r="V16" s="246" t="s">
        <v>123</v>
      </c>
      <c r="W16" s="246">
        <v>23.9</v>
      </c>
      <c r="X16" s="106">
        <f t="shared" ref="X16:X21" si="3">W16*$X$15</f>
        <v>1.1950000000000001</v>
      </c>
      <c r="Z16" s="246">
        <v>19.2</v>
      </c>
      <c r="AA16" s="106">
        <f t="shared" ref="AA16:AA21" si="4">Z16*$X$15</f>
        <v>0.96</v>
      </c>
    </row>
    <row r="17" spans="1:27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V17" s="246">
        <v>5</v>
      </c>
      <c r="W17" s="246">
        <v>22.9</v>
      </c>
      <c r="X17" s="106">
        <f t="shared" si="3"/>
        <v>1.145</v>
      </c>
      <c r="Z17" s="246">
        <v>18.7</v>
      </c>
      <c r="AA17" s="106">
        <f t="shared" si="4"/>
        <v>0.93500000000000005</v>
      </c>
    </row>
    <row r="18" spans="1:27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>
        <f>SUM(L5:L16)</f>
        <v>410.23843448952721</v>
      </c>
      <c r="M18" s="145">
        <f>SUM(M5:M16)</f>
        <v>3395.031129924751</v>
      </c>
      <c r="N18" s="145"/>
      <c r="O18" s="206" t="s">
        <v>256</v>
      </c>
      <c r="P18" s="205">
        <f>M18/L18</f>
        <v>8.2757509889323178</v>
      </c>
      <c r="V18" s="246">
        <v>4</v>
      </c>
      <c r="W18" s="246">
        <v>22.9</v>
      </c>
      <c r="X18" s="106">
        <f t="shared" si="3"/>
        <v>1.145</v>
      </c>
      <c r="Z18" s="246">
        <v>18.7</v>
      </c>
      <c r="AA18" s="106">
        <f t="shared" si="4"/>
        <v>0.93500000000000005</v>
      </c>
    </row>
    <row r="19" spans="1:27" x14ac:dyDescent="0.25">
      <c r="V19" s="246">
        <v>3</v>
      </c>
      <c r="W19" s="246">
        <v>22.9</v>
      </c>
      <c r="X19" s="106">
        <f t="shared" si="3"/>
        <v>1.145</v>
      </c>
      <c r="Z19" s="246">
        <v>18.7</v>
      </c>
      <c r="AA19" s="106">
        <f t="shared" si="4"/>
        <v>0.93500000000000005</v>
      </c>
    </row>
    <row r="20" spans="1:27" x14ac:dyDescent="0.25">
      <c r="A20" s="145"/>
      <c r="B20" s="227">
        <v>2.15</v>
      </c>
      <c r="C20" s="227"/>
      <c r="D20" s="227">
        <v>7.7</v>
      </c>
      <c r="E20" s="227"/>
      <c r="F20" s="227">
        <v>12.65</v>
      </c>
      <c r="G20" s="227"/>
      <c r="H20" s="227">
        <v>18.05</v>
      </c>
      <c r="I20" s="227"/>
      <c r="J20" s="227">
        <v>23.05</v>
      </c>
      <c r="K20" s="227">
        <v>23.25</v>
      </c>
      <c r="L20" s="145"/>
      <c r="M20" s="145"/>
      <c r="N20" s="145"/>
      <c r="V20" s="246">
        <v>2</v>
      </c>
      <c r="W20" s="246">
        <v>22.9</v>
      </c>
      <c r="X20" s="106">
        <f t="shared" si="3"/>
        <v>1.145</v>
      </c>
      <c r="Z20" s="246">
        <v>18.7</v>
      </c>
      <c r="AA20" s="106">
        <f t="shared" si="4"/>
        <v>0.93500000000000005</v>
      </c>
    </row>
    <row r="21" spans="1:27" x14ac:dyDescent="0.25">
      <c r="A21" s="231">
        <v>0.65</v>
      </c>
      <c r="B21" s="229">
        <f>rigidezza!X130</f>
        <v>4.2168030667783087</v>
      </c>
      <c r="H21" s="228">
        <f>rigidezza!AA130</f>
        <v>9.3915043862933008</v>
      </c>
      <c r="J21" s="228">
        <f>rigidezza!AB130</f>
        <v>9.3915043862933008</v>
      </c>
      <c r="K21" s="220"/>
      <c r="L21" s="145"/>
      <c r="M21" s="145"/>
      <c r="N21" s="145"/>
      <c r="V21" s="246" t="s">
        <v>202</v>
      </c>
      <c r="W21" s="246">
        <v>22.9</v>
      </c>
      <c r="X21" s="106">
        <f t="shared" si="3"/>
        <v>1.145</v>
      </c>
      <c r="Z21" s="246">
        <v>16.899999999999999</v>
      </c>
      <c r="AA21" s="106">
        <f t="shared" si="4"/>
        <v>0.84499999999999997</v>
      </c>
    </row>
    <row r="22" spans="1:27" x14ac:dyDescent="0.25">
      <c r="A22" s="231">
        <v>0.85</v>
      </c>
      <c r="D22" s="223">
        <f>rigidezza!Y130</f>
        <v>32.034162732961583</v>
      </c>
      <c r="F22" s="223">
        <f>rigidezza!Z130</f>
        <v>32.034162732961583</v>
      </c>
      <c r="J22" s="8"/>
      <c r="K22" s="220"/>
      <c r="L22" s="145"/>
      <c r="M22" s="145"/>
      <c r="N22" s="145"/>
    </row>
    <row r="23" spans="1:27" x14ac:dyDescent="0.25">
      <c r="A23" s="231"/>
      <c r="J23" s="8"/>
      <c r="K23" s="220"/>
      <c r="L23" s="145"/>
      <c r="M23" s="145"/>
      <c r="N23" s="145"/>
    </row>
    <row r="24" spans="1:27" x14ac:dyDescent="0.25">
      <c r="A24" s="231">
        <v>5.8</v>
      </c>
      <c r="F24" s="221">
        <f>rigidezza!Z131</f>
        <v>10.389801844567904</v>
      </c>
      <c r="J24" s="8"/>
      <c r="K24" s="220"/>
      <c r="L24" s="145"/>
      <c r="M24" s="145"/>
      <c r="N24" s="145"/>
    </row>
    <row r="25" spans="1:27" x14ac:dyDescent="0.25">
      <c r="A25" s="231">
        <v>6</v>
      </c>
      <c r="B25" s="230">
        <f>rigidezza!X131</f>
        <v>32.683659869451482</v>
      </c>
      <c r="D25" s="223">
        <f>rigidezza!Y131</f>
        <v>40.037861619309574</v>
      </c>
      <c r="H25" s="223">
        <f>rigidezza!AA131</f>
        <v>40.037861619309574</v>
      </c>
      <c r="J25" s="8"/>
      <c r="K25" s="223">
        <f>rigidezza!AB131</f>
        <v>40.037861619309574</v>
      </c>
      <c r="L25" s="145"/>
      <c r="M25" s="145"/>
      <c r="N25" s="145"/>
    </row>
    <row r="26" spans="1:27" x14ac:dyDescent="0.25">
      <c r="A26" s="231"/>
      <c r="J26" s="8"/>
      <c r="K26" s="220"/>
      <c r="L26" s="145"/>
      <c r="M26" s="145"/>
      <c r="N26" s="145"/>
    </row>
    <row r="27" spans="1:27" x14ac:dyDescent="0.25">
      <c r="A27" s="231"/>
      <c r="B27" s="230">
        <f>rigidezza!X132</f>
        <v>32.683659869451482</v>
      </c>
      <c r="J27" s="8"/>
      <c r="K27" s="220"/>
      <c r="L27" s="145"/>
      <c r="M27" s="145"/>
      <c r="N27" s="145"/>
    </row>
    <row r="28" spans="1:27" x14ac:dyDescent="0.25">
      <c r="A28" s="231">
        <v>11.8</v>
      </c>
      <c r="D28" s="223">
        <f>rigidezza!Y132</f>
        <v>40.037861619309574</v>
      </c>
      <c r="F28" s="221">
        <f>rigidezza!Z132</f>
        <v>10.389801844567904</v>
      </c>
      <c r="G28" s="208"/>
      <c r="H28" s="221">
        <f>rigidezza!AA132</f>
        <v>9.3915043862933008</v>
      </c>
      <c r="I28" s="216"/>
      <c r="J28" s="221">
        <f>rigidezza!AB132</f>
        <v>9.3915043862933008</v>
      </c>
      <c r="K28" s="217"/>
      <c r="L28" s="145"/>
      <c r="M28" s="145"/>
      <c r="N28" s="145"/>
    </row>
    <row r="29" spans="1:27" x14ac:dyDescent="0.25">
      <c r="A29" s="231"/>
      <c r="F29" s="215"/>
      <c r="L29" s="145"/>
      <c r="M29" s="145"/>
      <c r="N29" s="145"/>
    </row>
    <row r="30" spans="1:27" x14ac:dyDescent="0.25">
      <c r="A30" s="231"/>
      <c r="F30" s="220"/>
      <c r="L30" s="145"/>
      <c r="M30" s="145"/>
      <c r="N30" s="145"/>
    </row>
    <row r="31" spans="1:27" x14ac:dyDescent="0.25">
      <c r="A31" s="231">
        <v>17.05</v>
      </c>
      <c r="D31" s="223">
        <f>rigidezza!Y133</f>
        <v>32.034162732961583</v>
      </c>
      <c r="E31" s="224"/>
      <c r="F31" s="221">
        <f>rigidezza!Z133</f>
        <v>9.3915043862933008</v>
      </c>
      <c r="L31" s="145"/>
      <c r="M31" s="145"/>
      <c r="N31" s="145"/>
    </row>
    <row r="32" spans="1:27" x14ac:dyDescent="0.25">
      <c r="A32" s="231">
        <v>17.25</v>
      </c>
      <c r="B32" s="229">
        <f>rigidezza!X133</f>
        <v>4.2168030667783087</v>
      </c>
      <c r="C32" s="216"/>
      <c r="D32" s="216"/>
      <c r="E32" s="216"/>
      <c r="F32" s="217"/>
      <c r="L32" s="145"/>
      <c r="M32" s="145"/>
      <c r="N32" s="145"/>
    </row>
    <row r="33" spans="1:23" x14ac:dyDescent="0.25">
      <c r="A33" s="145"/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1:23" x14ac:dyDescent="0.25">
      <c r="A34" s="145" t="s">
        <v>17</v>
      </c>
      <c r="B34" s="145">
        <f>SUM(B21:B32)</f>
        <v>73.800925872459587</v>
      </c>
      <c r="C34" s="145"/>
      <c r="D34" s="145">
        <f>SUM(D21:D32)</f>
        <v>144.14404870454231</v>
      </c>
      <c r="E34" s="145"/>
      <c r="F34" s="145">
        <f>SUM(F21:F32)</f>
        <v>62.205270808390694</v>
      </c>
      <c r="G34" s="145"/>
      <c r="H34" s="145">
        <f>SUM(H21:H32)</f>
        <v>58.820870391896172</v>
      </c>
      <c r="I34" s="145"/>
      <c r="J34" s="145">
        <f>SUM(J21:J32)</f>
        <v>18.783008772586602</v>
      </c>
      <c r="K34" s="145">
        <f>SUM(K21:K32)</f>
        <v>40.037861619309574</v>
      </c>
      <c r="L34" s="145"/>
      <c r="M34" s="145">
        <f>SUM(B34:K34)</f>
        <v>397.79198616918495</v>
      </c>
      <c r="N34" s="145"/>
      <c r="O34" s="225" t="s">
        <v>257</v>
      </c>
      <c r="P34" s="232">
        <f>M35/M34</f>
        <v>11.264739719773733</v>
      </c>
    </row>
    <row r="35" spans="1:23" x14ac:dyDescent="0.25">
      <c r="A35" t="s">
        <v>258</v>
      </c>
      <c r="B35" s="145">
        <f>B34*B20</f>
        <v>158.67199062578811</v>
      </c>
      <c r="C35" s="145"/>
      <c r="D35" s="145">
        <f>D34*D20</f>
        <v>1109.9091750249759</v>
      </c>
      <c r="E35" s="145"/>
      <c r="F35" s="145">
        <f>F34*F20</f>
        <v>786.89667572614235</v>
      </c>
      <c r="G35" s="145"/>
      <c r="H35" s="145">
        <f>H34*H20</f>
        <v>1061.716710573726</v>
      </c>
      <c r="I35" s="145"/>
      <c r="J35" s="145">
        <f>J34*J20</f>
        <v>432.94835220812115</v>
      </c>
      <c r="K35" s="145">
        <f>K34*K20</f>
        <v>930.88028264894763</v>
      </c>
      <c r="L35" s="145"/>
      <c r="M35" s="145">
        <f>SUM(B35:K35)</f>
        <v>4481.0231868077008</v>
      </c>
    </row>
    <row r="41" spans="1:23" ht="15.75" thickBot="1" x14ac:dyDescent="0.3"/>
    <row r="42" spans="1:23" ht="15.75" thickBot="1" x14ac:dyDescent="0.3">
      <c r="B42" s="286" t="s">
        <v>259</v>
      </c>
      <c r="C42" s="280"/>
      <c r="D42" s="280"/>
      <c r="E42" s="280"/>
      <c r="F42" s="280"/>
      <c r="G42" s="280"/>
      <c r="H42" s="280"/>
      <c r="I42" s="280"/>
      <c r="J42" s="281"/>
    </row>
    <row r="44" spans="1:23" x14ac:dyDescent="0.25">
      <c r="R44" s="8"/>
      <c r="S44" s="8"/>
      <c r="T44" s="8"/>
      <c r="U44" s="8"/>
      <c r="V44" s="8"/>
      <c r="W44" s="8"/>
    </row>
    <row r="45" spans="1:23" x14ac:dyDescent="0.25">
      <c r="L45" t="s">
        <v>17</v>
      </c>
      <c r="M45" t="s">
        <v>246</v>
      </c>
      <c r="N45" t="s">
        <v>247</v>
      </c>
    </row>
    <row r="46" spans="1:23" x14ac:dyDescent="0.25">
      <c r="A46" s="145"/>
      <c r="B46" s="227">
        <v>2.15</v>
      </c>
      <c r="C46" s="227"/>
      <c r="D46" s="227">
        <v>7.7</v>
      </c>
      <c r="E46" s="227"/>
      <c r="F46" s="227">
        <v>12.65</v>
      </c>
      <c r="G46" s="227"/>
      <c r="H46" s="227">
        <v>18.05</v>
      </c>
      <c r="I46" s="227"/>
      <c r="J46" s="227">
        <v>23.05</v>
      </c>
      <c r="K46" s="227">
        <v>23.25</v>
      </c>
      <c r="L46" s="145"/>
      <c r="M46" s="145"/>
      <c r="N46" s="145"/>
    </row>
    <row r="47" spans="1:23" x14ac:dyDescent="0.25">
      <c r="A47" s="231">
        <v>0.65</v>
      </c>
      <c r="B47" s="229">
        <f>rigidezza!X99</f>
        <v>23.037706400109165</v>
      </c>
      <c r="H47" s="228">
        <f>rigidezza!AA99</f>
        <v>37.371674845041319</v>
      </c>
      <c r="J47" s="228">
        <f>rigidezza!AB99</f>
        <v>23.037706400109165</v>
      </c>
      <c r="K47" s="220"/>
      <c r="L47" s="145">
        <f>SUM(B47:J47)</f>
        <v>83.447087645259643</v>
      </c>
      <c r="M47" s="145">
        <f>L47*A47</f>
        <v>54.240606969418771</v>
      </c>
      <c r="N47" s="145"/>
    </row>
    <row r="48" spans="1:23" x14ac:dyDescent="0.25">
      <c r="A48" s="231">
        <v>0.85</v>
      </c>
      <c r="D48" s="223">
        <f>rigidezza!Y99</f>
        <v>13.949188529782598</v>
      </c>
      <c r="F48" s="223">
        <f>rigidezza!Z99</f>
        <v>14.830414266758693</v>
      </c>
      <c r="J48" s="8"/>
      <c r="K48" s="220"/>
      <c r="L48" s="145">
        <f>SUM(B48:J48)</f>
        <v>28.77960279654129</v>
      </c>
      <c r="M48" s="145">
        <f>L48*A48</f>
        <v>24.462662377060095</v>
      </c>
      <c r="N48" s="145"/>
      <c r="W48" s="8"/>
    </row>
    <row r="49" spans="1:23" x14ac:dyDescent="0.25">
      <c r="A49" s="231"/>
      <c r="J49" s="8"/>
      <c r="K49" s="220"/>
      <c r="L49" s="145"/>
      <c r="M49" s="145"/>
      <c r="N49" s="145"/>
      <c r="W49" s="8"/>
    </row>
    <row r="50" spans="1:23" x14ac:dyDescent="0.25">
      <c r="A50" s="231">
        <v>5.8</v>
      </c>
      <c r="F50" s="221">
        <f>rigidezza!Z100</f>
        <v>37.371674845041319</v>
      </c>
      <c r="J50" s="8"/>
      <c r="K50" s="220"/>
      <c r="L50" s="145">
        <f>SUM(B50:F50)</f>
        <v>37.371674845041319</v>
      </c>
      <c r="M50" s="145">
        <f>L50*A50</f>
        <v>216.75571410123965</v>
      </c>
      <c r="N50" s="145"/>
      <c r="R50" s="8"/>
      <c r="S50" s="8"/>
      <c r="T50" s="8"/>
      <c r="U50" s="8"/>
      <c r="V50" s="8"/>
      <c r="W50" s="8"/>
    </row>
    <row r="51" spans="1:23" x14ac:dyDescent="0.25">
      <c r="A51" s="231">
        <v>6</v>
      </c>
      <c r="B51" s="230">
        <f>rigidezza!X100</f>
        <v>11.32020493299491</v>
      </c>
      <c r="D51" s="223">
        <f>rigidezza!Y100</f>
        <v>13.949188529782598</v>
      </c>
      <c r="H51" s="223">
        <f>rigidezza!AA100</f>
        <v>11.575265622417703</v>
      </c>
      <c r="J51" s="8"/>
      <c r="K51" s="223">
        <f>rigidezza!AB100</f>
        <v>1.691064490631375</v>
      </c>
      <c r="L51" s="145">
        <f>SUM(B51:K51)</f>
        <v>38.535723575826587</v>
      </c>
      <c r="M51" s="145">
        <f>L51*A51</f>
        <v>231.21434145495954</v>
      </c>
      <c r="N51" s="145"/>
      <c r="R51" s="8"/>
      <c r="S51" s="8"/>
      <c r="T51" s="8"/>
      <c r="U51" s="8"/>
      <c r="V51" s="8"/>
      <c r="W51" s="8"/>
    </row>
    <row r="52" spans="1:23" x14ac:dyDescent="0.25">
      <c r="A52" s="231"/>
      <c r="J52" s="8"/>
      <c r="K52" s="220"/>
      <c r="L52" s="145"/>
      <c r="M52" s="145"/>
      <c r="N52" s="145"/>
    </row>
    <row r="53" spans="1:23" x14ac:dyDescent="0.25">
      <c r="A53" s="231">
        <v>11.6</v>
      </c>
      <c r="B53" s="230">
        <f>rigidezza!X101</f>
        <v>11.32020493299491</v>
      </c>
      <c r="J53" s="8"/>
      <c r="K53" s="220"/>
      <c r="L53" s="145">
        <f>SUM(B53:J53)</f>
        <v>11.32020493299491</v>
      </c>
      <c r="M53" s="145">
        <f>L53*A53</f>
        <v>131.31437722274094</v>
      </c>
      <c r="N53" s="145"/>
    </row>
    <row r="54" spans="1:23" x14ac:dyDescent="0.25">
      <c r="A54" s="231">
        <v>11.8</v>
      </c>
      <c r="D54" s="223">
        <f>rigidezza!Y101</f>
        <v>13.949188529782598</v>
      </c>
      <c r="F54" s="221">
        <f>rigidezza!Z101</f>
        <v>37.371674845041319</v>
      </c>
      <c r="G54" s="208"/>
      <c r="H54" s="221">
        <f>rigidezza!AA101</f>
        <v>37.371674845041319</v>
      </c>
      <c r="I54" s="216"/>
      <c r="J54" s="221">
        <f>rigidezza!AB101</f>
        <v>23.037706400109165</v>
      </c>
      <c r="K54" s="217"/>
      <c r="L54" s="145">
        <f>SUM(B54:J54)</f>
        <v>111.7302446199744</v>
      </c>
      <c r="M54" s="145">
        <f>L54*A54</f>
        <v>1318.416886515698</v>
      </c>
      <c r="N54" s="145"/>
    </row>
    <row r="55" spans="1:23" x14ac:dyDescent="0.25">
      <c r="A55" s="231"/>
      <c r="F55" s="215"/>
      <c r="L55" s="145"/>
      <c r="M55" s="145"/>
      <c r="N55" s="145"/>
    </row>
    <row r="56" spans="1:23" x14ac:dyDescent="0.25">
      <c r="A56" s="231"/>
      <c r="F56" s="220"/>
      <c r="L56" s="145"/>
      <c r="M56" s="145"/>
      <c r="N56" s="145"/>
    </row>
    <row r="57" spans="1:23" x14ac:dyDescent="0.25">
      <c r="A57" s="231">
        <v>17.05</v>
      </c>
      <c r="D57" s="223">
        <f>rigidezza!Y102</f>
        <v>13.949188529782598</v>
      </c>
      <c r="E57" s="224"/>
      <c r="F57" s="221">
        <f>rigidezza!Z102</f>
        <v>23.037706400109165</v>
      </c>
      <c r="L57" s="145">
        <f>SUM(B57:J57)</f>
        <v>36.986894929891761</v>
      </c>
      <c r="M57" s="145">
        <f>L57*A57</f>
        <v>630.62655855465459</v>
      </c>
      <c r="N57" s="145"/>
    </row>
    <row r="58" spans="1:23" x14ac:dyDescent="0.25">
      <c r="A58" s="231">
        <v>17.25</v>
      </c>
      <c r="B58" s="229">
        <f>rigidezza!X102</f>
        <v>23.037706400109165</v>
      </c>
      <c r="C58" s="216"/>
      <c r="D58" s="216"/>
      <c r="E58" s="216"/>
      <c r="F58" s="217"/>
      <c r="L58" s="145">
        <f>SUM(B58:J58)</f>
        <v>23.037706400109165</v>
      </c>
      <c r="M58" s="145">
        <f>L58*A58</f>
        <v>397.4004354018831</v>
      </c>
      <c r="N58" s="145"/>
    </row>
    <row r="59" spans="1:23" x14ac:dyDescent="0.25">
      <c r="A59" s="145"/>
      <c r="B59" s="145"/>
      <c r="C59" s="145"/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</row>
    <row r="60" spans="1:23" x14ac:dyDescent="0.25">
      <c r="A60" s="145"/>
      <c r="B60" s="145"/>
      <c r="C60" s="145"/>
      <c r="D60" s="145"/>
      <c r="E60" s="145"/>
      <c r="F60" s="145"/>
      <c r="G60" s="145"/>
      <c r="H60" s="145"/>
      <c r="I60" s="145"/>
      <c r="J60" s="145"/>
      <c r="K60" s="145"/>
      <c r="L60" s="145">
        <f>SUM(L47:L58)</f>
        <v>371.20913974563911</v>
      </c>
      <c r="M60" s="145">
        <f>SUM(M47:M58)</f>
        <v>3004.4315825976551</v>
      </c>
      <c r="N60" s="145"/>
      <c r="O60" s="206" t="s">
        <v>256</v>
      </c>
      <c r="P60" s="205">
        <f>M60/L60</f>
        <v>8.0936357996367203</v>
      </c>
    </row>
    <row r="62" spans="1:23" x14ac:dyDescent="0.25">
      <c r="A62" s="145"/>
      <c r="B62" s="227">
        <v>2.15</v>
      </c>
      <c r="C62" s="227"/>
      <c r="D62" s="227">
        <v>7.7</v>
      </c>
      <c r="E62" s="227"/>
      <c r="F62" s="227">
        <v>12.65</v>
      </c>
      <c r="G62" s="227"/>
      <c r="H62" s="227">
        <v>18.05</v>
      </c>
      <c r="I62" s="227"/>
      <c r="J62" s="227">
        <v>23.05</v>
      </c>
      <c r="K62" s="227">
        <v>23.25</v>
      </c>
      <c r="L62" s="145"/>
      <c r="M62" s="145"/>
      <c r="N62" s="145"/>
    </row>
    <row r="63" spans="1:23" x14ac:dyDescent="0.25">
      <c r="A63" s="231">
        <v>0.65</v>
      </c>
      <c r="B63" s="229">
        <f>rigidezza!X106</f>
        <v>1.6186402485426059</v>
      </c>
      <c r="H63" s="228">
        <f>rigidezza!AA106</f>
        <v>11.113531924153465</v>
      </c>
      <c r="J63" s="228">
        <f>rigidezza!AB106</f>
        <v>11.113531924153465</v>
      </c>
      <c r="K63" s="220"/>
      <c r="L63" s="145"/>
      <c r="M63" s="145"/>
      <c r="N63" s="145"/>
    </row>
    <row r="64" spans="1:23" x14ac:dyDescent="0.25">
      <c r="A64" s="231">
        <v>0.85</v>
      </c>
      <c r="D64" s="223">
        <f>rigidezza!Y106</f>
        <v>22.197621734747546</v>
      </c>
      <c r="F64" s="223">
        <f>rigidezza!Z106</f>
        <v>22.197621734747546</v>
      </c>
      <c r="J64" s="8"/>
      <c r="K64" s="220"/>
      <c r="L64" s="145"/>
      <c r="M64" s="145"/>
      <c r="N64" s="145"/>
    </row>
    <row r="65" spans="1:24" x14ac:dyDescent="0.25">
      <c r="A65" s="231"/>
      <c r="J65" s="8"/>
      <c r="K65" s="220"/>
      <c r="L65" s="145"/>
      <c r="M65" s="145"/>
      <c r="N65" s="145"/>
    </row>
    <row r="66" spans="1:24" x14ac:dyDescent="0.25">
      <c r="A66" s="231">
        <v>5.8</v>
      </c>
      <c r="F66" s="221">
        <f>rigidezza!Z107</f>
        <v>13.791173807607588</v>
      </c>
      <c r="J66" s="8"/>
      <c r="K66" s="220"/>
      <c r="L66" s="145"/>
      <c r="M66" s="145"/>
      <c r="N66" s="145"/>
    </row>
    <row r="67" spans="1:24" x14ac:dyDescent="0.25">
      <c r="A67" s="231">
        <v>6</v>
      </c>
      <c r="B67" s="230">
        <f>rigidezza!X107</f>
        <v>23.251855323175192</v>
      </c>
      <c r="D67" s="223">
        <f>rigidezza!Y107</f>
        <v>36.258658182989691</v>
      </c>
      <c r="H67" s="223">
        <f>rigidezza!AA107</f>
        <v>36.258658182989691</v>
      </c>
      <c r="J67" s="8"/>
      <c r="K67" s="223">
        <f>rigidezza!AB107</f>
        <v>36.258658182989691</v>
      </c>
      <c r="L67" s="145"/>
      <c r="M67" s="145"/>
      <c r="N67" s="145"/>
    </row>
    <row r="68" spans="1:24" x14ac:dyDescent="0.25">
      <c r="A68" s="231"/>
      <c r="J68" s="8"/>
      <c r="K68" s="220"/>
      <c r="L68" s="145"/>
      <c r="M68" s="145"/>
      <c r="N68" s="145"/>
    </row>
    <row r="69" spans="1:24" x14ac:dyDescent="0.25">
      <c r="A69" s="231">
        <v>11.6</v>
      </c>
      <c r="B69" s="230">
        <f>rigidezza!X108</f>
        <v>23.251855323175192</v>
      </c>
      <c r="J69" s="8"/>
      <c r="K69" s="220"/>
      <c r="L69" s="145"/>
      <c r="M69" s="145"/>
      <c r="N69" s="145"/>
      <c r="R69" s="8"/>
      <c r="S69" s="8"/>
      <c r="T69" s="8"/>
      <c r="U69" s="8"/>
      <c r="V69" s="8"/>
      <c r="W69" s="8"/>
      <c r="X69" s="8"/>
    </row>
    <row r="70" spans="1:24" x14ac:dyDescent="0.25">
      <c r="A70" s="231">
        <v>11.8</v>
      </c>
      <c r="D70" s="223">
        <f>rigidezza!Y108</f>
        <v>36.258658182989691</v>
      </c>
      <c r="F70" s="221">
        <f>rigidezza!Z108</f>
        <v>13.791173807607588</v>
      </c>
      <c r="G70" s="208"/>
      <c r="H70" s="221">
        <f>rigidezza!AA108</f>
        <v>11.113531924153465</v>
      </c>
      <c r="I70" s="216"/>
      <c r="J70" s="221">
        <f>rigidezza!AB108</f>
        <v>11.113531924153465</v>
      </c>
      <c r="K70" s="217"/>
      <c r="L70" s="145"/>
      <c r="M70" s="145"/>
      <c r="N70" s="145"/>
    </row>
    <row r="71" spans="1:24" x14ac:dyDescent="0.25">
      <c r="A71" s="231"/>
      <c r="F71" s="215"/>
      <c r="L71" s="145"/>
      <c r="M71" s="145"/>
      <c r="N71" s="145"/>
    </row>
    <row r="72" spans="1:24" x14ac:dyDescent="0.25">
      <c r="A72" s="231"/>
      <c r="F72" s="220"/>
      <c r="L72" s="145"/>
      <c r="M72" s="145"/>
      <c r="N72" s="145"/>
    </row>
    <row r="73" spans="1:24" x14ac:dyDescent="0.25">
      <c r="A73" s="231">
        <v>17.05</v>
      </c>
      <c r="D73" s="223">
        <f>rigidezza!Y109</f>
        <v>22.197621734747546</v>
      </c>
      <c r="E73" s="224"/>
      <c r="F73" s="221">
        <f>rigidezza!Z109</f>
        <v>11.113531924153465</v>
      </c>
      <c r="L73" s="145"/>
      <c r="M73" s="145"/>
      <c r="N73" s="145"/>
    </row>
    <row r="74" spans="1:24" x14ac:dyDescent="0.25">
      <c r="A74" s="231">
        <v>17.25</v>
      </c>
      <c r="B74" s="229">
        <f>rigidezza!X109</f>
        <v>1.6186402485426059</v>
      </c>
      <c r="C74" s="216"/>
      <c r="D74" s="216"/>
      <c r="E74" s="216"/>
      <c r="F74" s="217"/>
      <c r="L74" s="145"/>
      <c r="M74" s="145"/>
      <c r="N74" s="145"/>
    </row>
    <row r="75" spans="1:24" x14ac:dyDescent="0.25">
      <c r="A75" s="145"/>
      <c r="B75" s="145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</row>
    <row r="76" spans="1:24" x14ac:dyDescent="0.25">
      <c r="A76" s="145" t="s">
        <v>17</v>
      </c>
      <c r="B76" s="145">
        <f>SUM(B63:B74)</f>
        <v>49.740991143435593</v>
      </c>
      <c r="C76" s="145"/>
      <c r="D76" s="145">
        <f>SUM(D63:D74)</f>
        <v>116.91255983547447</v>
      </c>
      <c r="E76" s="145"/>
      <c r="F76" s="145">
        <f>SUM(F63:F74)</f>
        <v>60.89350127411619</v>
      </c>
      <c r="G76" s="145"/>
      <c r="H76" s="145">
        <f>SUM(H63:H74)</f>
        <v>58.485722031296618</v>
      </c>
      <c r="I76" s="145"/>
      <c r="J76" s="145">
        <f>SUM(J63:J74)</f>
        <v>22.22706384830693</v>
      </c>
      <c r="K76" s="145">
        <f>SUM(K63:K74)</f>
        <v>36.258658182989691</v>
      </c>
      <c r="L76" s="145"/>
      <c r="M76" s="145">
        <f>SUM(B76:K76)</f>
        <v>344.51849631561953</v>
      </c>
      <c r="N76" s="145"/>
      <c r="O76" s="225" t="s">
        <v>257</v>
      </c>
      <c r="P76" s="232">
        <f>M77/M76</f>
        <v>12.157511381028584</v>
      </c>
    </row>
    <row r="77" spans="1:24" x14ac:dyDescent="0.25">
      <c r="A77" t="s">
        <v>258</v>
      </c>
      <c r="B77" s="145">
        <f>B76*B62</f>
        <v>106.94313095838652</v>
      </c>
      <c r="C77" s="145"/>
      <c r="D77" s="145">
        <f>D76*D62</f>
        <v>900.22671073315348</v>
      </c>
      <c r="E77" s="145"/>
      <c r="F77" s="145">
        <f>F76*F62</f>
        <v>770.30279111756977</v>
      </c>
      <c r="G77" s="145"/>
      <c r="H77" s="145">
        <f>H76*H62</f>
        <v>1055.667282664904</v>
      </c>
      <c r="I77" s="145"/>
      <c r="J77" s="145">
        <f>J76*J62</f>
        <v>512.33382170347477</v>
      </c>
      <c r="K77" s="145">
        <f>K76*K62</f>
        <v>843.01380275451038</v>
      </c>
      <c r="L77" s="145"/>
      <c r="M77" s="145">
        <f>SUM(B77:K77)</f>
        <v>4188.487539931999</v>
      </c>
    </row>
    <row r="80" spans="1:24" ht="15.75" thickBot="1" x14ac:dyDescent="0.3"/>
    <row r="81" spans="1:14" ht="15.75" thickBot="1" x14ac:dyDescent="0.3">
      <c r="B81" s="286" t="s">
        <v>261</v>
      </c>
      <c r="C81" s="280"/>
      <c r="D81" s="280"/>
      <c r="E81" s="280"/>
      <c r="F81" s="280"/>
      <c r="G81" s="280"/>
      <c r="H81" s="280"/>
      <c r="I81" s="280"/>
      <c r="J81" s="281"/>
    </row>
    <row r="84" spans="1:14" x14ac:dyDescent="0.25">
      <c r="L84" t="s">
        <v>17</v>
      </c>
      <c r="M84" t="s">
        <v>246</v>
      </c>
      <c r="N84" t="s">
        <v>247</v>
      </c>
    </row>
    <row r="85" spans="1:14" x14ac:dyDescent="0.25">
      <c r="A85" s="145"/>
      <c r="B85" s="227">
        <v>2.15</v>
      </c>
      <c r="C85" s="227"/>
      <c r="D85" s="227">
        <v>7.7</v>
      </c>
      <c r="E85" s="227"/>
      <c r="F85" s="227">
        <v>12.65</v>
      </c>
      <c r="G85" s="227"/>
      <c r="H85" s="227">
        <v>18.05</v>
      </c>
      <c r="I85" s="227"/>
      <c r="J85" s="227">
        <v>23.05</v>
      </c>
      <c r="K85" s="227">
        <v>23.25</v>
      </c>
      <c r="L85" s="145"/>
      <c r="M85" s="145"/>
      <c r="N85" s="145"/>
    </row>
    <row r="86" spans="1:14" x14ac:dyDescent="0.25">
      <c r="A86" s="231">
        <v>0.65</v>
      </c>
      <c r="B86" s="229">
        <f>rigidezza!X75</f>
        <v>23.037706400109165</v>
      </c>
      <c r="H86" s="228">
        <f>rigidezza!AA75</f>
        <v>37.371674845041319</v>
      </c>
      <c r="J86" s="228">
        <f>rigidezza!AB75</f>
        <v>23.037706400109165</v>
      </c>
      <c r="K86" s="220"/>
      <c r="L86" s="145">
        <f>SUM(B86:J86)</f>
        <v>83.447087645259643</v>
      </c>
      <c r="M86" s="145">
        <f>L86*A86</f>
        <v>54.240606969418771</v>
      </c>
      <c r="N86" s="145"/>
    </row>
    <row r="87" spans="1:14" x14ac:dyDescent="0.25">
      <c r="A87" s="231">
        <v>0.85</v>
      </c>
      <c r="D87" s="223">
        <f>rigidezza!Y75</f>
        <v>13.949188529782598</v>
      </c>
      <c r="F87" s="223">
        <f>rigidezza!Z75</f>
        <v>14.830414266758693</v>
      </c>
      <c r="J87" s="8"/>
      <c r="K87" s="220"/>
      <c r="L87" s="145">
        <f>SUM(B87:J87)</f>
        <v>28.77960279654129</v>
      </c>
      <c r="M87" s="145">
        <f>L87*A87</f>
        <v>24.462662377060095</v>
      </c>
      <c r="N87" s="145"/>
    </row>
    <row r="88" spans="1:14" x14ac:dyDescent="0.25">
      <c r="A88" s="231"/>
      <c r="J88" s="8"/>
      <c r="K88" s="220"/>
      <c r="L88" s="145"/>
      <c r="M88" s="145"/>
      <c r="N88" s="145"/>
    </row>
    <row r="89" spans="1:14" x14ac:dyDescent="0.25">
      <c r="A89" s="231">
        <v>5.8</v>
      </c>
      <c r="F89" s="221">
        <f>rigidezza!Z76</f>
        <v>37.371674845041319</v>
      </c>
      <c r="J89" s="8"/>
      <c r="K89" s="220"/>
      <c r="L89" s="145">
        <f>SUM(B89:J89)</f>
        <v>37.371674845041319</v>
      </c>
      <c r="M89" s="145">
        <f>L89*A89</f>
        <v>216.75571410123965</v>
      </c>
      <c r="N89" s="145"/>
    </row>
    <row r="90" spans="1:14" x14ac:dyDescent="0.25">
      <c r="A90" s="231">
        <v>6</v>
      </c>
      <c r="B90" s="230">
        <f>rigidezza!X76</f>
        <v>11.32020493299491</v>
      </c>
      <c r="D90" s="223">
        <f>rigidezza!Y76</f>
        <v>13.949188529782598</v>
      </c>
      <c r="H90" s="223">
        <f>rigidezza!AA76</f>
        <v>11.575265622417703</v>
      </c>
      <c r="J90" s="8"/>
      <c r="K90" s="223">
        <f>rigidezza!AB76</f>
        <v>1.691064490631375</v>
      </c>
      <c r="L90" s="145">
        <f>SUM(B90:K90)</f>
        <v>38.535723575826587</v>
      </c>
      <c r="M90" s="145">
        <f>L90*A90</f>
        <v>231.21434145495954</v>
      </c>
      <c r="N90" s="145"/>
    </row>
    <row r="91" spans="1:14" x14ac:dyDescent="0.25">
      <c r="A91" s="231"/>
      <c r="J91" s="8"/>
      <c r="K91" s="220"/>
      <c r="L91" s="145"/>
      <c r="M91" s="145"/>
      <c r="N91" s="145"/>
    </row>
    <row r="92" spans="1:14" x14ac:dyDescent="0.25">
      <c r="A92" s="231">
        <v>11.6</v>
      </c>
      <c r="B92" s="230">
        <f>rigidezza!X77</f>
        <v>11.32020493299491</v>
      </c>
      <c r="J92" s="8"/>
      <c r="K92" s="220"/>
      <c r="L92" s="145">
        <f>SUM(B92:J92)</f>
        <v>11.32020493299491</v>
      </c>
      <c r="M92" s="145">
        <f>L92*A92</f>
        <v>131.31437722274094</v>
      </c>
      <c r="N92" s="145"/>
    </row>
    <row r="93" spans="1:14" x14ac:dyDescent="0.25">
      <c r="A93" s="231">
        <v>11.8</v>
      </c>
      <c r="D93" s="223">
        <f>rigidezza!Y77</f>
        <v>13.949188529782598</v>
      </c>
      <c r="F93" s="221">
        <f>rigidezza!Z77</f>
        <v>37.371674845041319</v>
      </c>
      <c r="G93" s="208"/>
      <c r="H93" s="221">
        <f>rigidezza!AA77</f>
        <v>37.371674845041319</v>
      </c>
      <c r="I93" s="216"/>
      <c r="J93" s="221">
        <f>rigidezza!AB77</f>
        <v>23.037706400109165</v>
      </c>
      <c r="K93" s="217"/>
      <c r="L93" s="145">
        <f>SUM(B93:J93)</f>
        <v>111.7302446199744</v>
      </c>
      <c r="M93" s="145">
        <f>L93*A93</f>
        <v>1318.416886515698</v>
      </c>
      <c r="N93" s="145"/>
    </row>
    <row r="94" spans="1:14" x14ac:dyDescent="0.25">
      <c r="A94" s="231"/>
      <c r="F94" s="215"/>
      <c r="L94" s="145"/>
      <c r="M94" s="145"/>
      <c r="N94" s="145"/>
    </row>
    <row r="95" spans="1:14" x14ac:dyDescent="0.25">
      <c r="A95" s="231"/>
      <c r="F95" s="220"/>
      <c r="L95" s="145"/>
      <c r="M95" s="145"/>
      <c r="N95" s="145"/>
    </row>
    <row r="96" spans="1:14" x14ac:dyDescent="0.25">
      <c r="A96" s="231">
        <v>17.05</v>
      </c>
      <c r="D96" s="223">
        <f>rigidezza!Y78</f>
        <v>13.949188529782598</v>
      </c>
      <c r="E96" s="224"/>
      <c r="F96" s="221">
        <f>rigidezza!Z78</f>
        <v>23.037706400109165</v>
      </c>
      <c r="L96" s="145">
        <f>SUM(B96:J96)</f>
        <v>36.986894929891761</v>
      </c>
      <c r="M96" s="145">
        <f>L96*A96</f>
        <v>630.62655855465459</v>
      </c>
      <c r="N96" s="145"/>
    </row>
    <row r="97" spans="1:16" x14ac:dyDescent="0.25">
      <c r="A97" s="231">
        <v>17.25</v>
      </c>
      <c r="B97" s="229">
        <f>rigidezza!X78</f>
        <v>23.037706400109165</v>
      </c>
      <c r="C97" s="216"/>
      <c r="D97" s="216"/>
      <c r="E97" s="216"/>
      <c r="F97" s="217"/>
      <c r="L97" s="145">
        <f>SUM(B97:J97)</f>
        <v>23.037706400109165</v>
      </c>
      <c r="M97" s="145">
        <f>L97*A97</f>
        <v>397.4004354018831</v>
      </c>
      <c r="N97" s="145"/>
    </row>
    <row r="98" spans="1:16" x14ac:dyDescent="0.25">
      <c r="A98" s="145"/>
      <c r="B98" s="145"/>
      <c r="C98" s="145"/>
      <c r="D98" s="145"/>
      <c r="E98" s="145"/>
      <c r="F98" s="145"/>
      <c r="G98" s="145"/>
      <c r="H98" s="145"/>
      <c r="I98" s="145"/>
      <c r="J98" s="145"/>
      <c r="K98" s="145"/>
      <c r="L98" s="145"/>
      <c r="M98" s="145"/>
      <c r="N98" s="145"/>
    </row>
    <row r="99" spans="1:16" x14ac:dyDescent="0.25">
      <c r="A99" s="145"/>
      <c r="B99" s="145"/>
      <c r="C99" s="145"/>
      <c r="D99" s="145"/>
      <c r="E99" s="145"/>
      <c r="F99" s="145"/>
      <c r="G99" s="145"/>
      <c r="H99" s="145"/>
      <c r="I99" s="145"/>
      <c r="J99" s="145"/>
      <c r="K99" s="145"/>
      <c r="L99" s="145">
        <f>SUM(L86:L97)</f>
        <v>371.20913974563911</v>
      </c>
      <c r="M99" s="145">
        <f>SUM(M86:M97)</f>
        <v>3004.4315825976551</v>
      </c>
      <c r="N99" s="145"/>
      <c r="O99" s="223" t="s">
        <v>256</v>
      </c>
      <c r="P99" s="223">
        <f>M99/L99</f>
        <v>8.0936357996367203</v>
      </c>
    </row>
    <row r="100" spans="1:16" x14ac:dyDescent="0.25"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  <c r="L100" s="145"/>
      <c r="M100" s="145"/>
    </row>
    <row r="101" spans="1:16" x14ac:dyDescent="0.25">
      <c r="A101" s="145"/>
      <c r="B101" s="227">
        <v>2.15</v>
      </c>
      <c r="C101" s="227"/>
      <c r="D101" s="227">
        <v>7.7</v>
      </c>
      <c r="E101" s="227"/>
      <c r="F101" s="227">
        <v>12.65</v>
      </c>
      <c r="G101" s="227"/>
      <c r="H101" s="227">
        <v>18.05</v>
      </c>
      <c r="I101" s="227"/>
      <c r="J101" s="227">
        <v>23.05</v>
      </c>
      <c r="K101" s="227">
        <v>23.25</v>
      </c>
      <c r="L101" s="145"/>
      <c r="M101" s="145"/>
      <c r="N101" s="145"/>
    </row>
    <row r="102" spans="1:16" x14ac:dyDescent="0.25">
      <c r="A102" s="231">
        <v>0.65</v>
      </c>
      <c r="B102" s="229">
        <f>rigidezza!X82</f>
        <v>1.6186402485426059</v>
      </c>
      <c r="H102" s="228">
        <f>rigidezza!AA82</f>
        <v>11.113531924153465</v>
      </c>
      <c r="J102" s="228">
        <f>rigidezza!AB82</f>
        <v>11.113531924153465</v>
      </c>
      <c r="K102" s="220"/>
      <c r="L102" s="145"/>
      <c r="M102" s="145"/>
      <c r="N102" s="145"/>
    </row>
    <row r="103" spans="1:16" x14ac:dyDescent="0.25">
      <c r="A103" s="231">
        <v>0.85</v>
      </c>
      <c r="D103" s="223">
        <f>rigidezza!Y82</f>
        <v>22.197621734747546</v>
      </c>
      <c r="F103" s="223">
        <f>rigidezza!Z82</f>
        <v>22.197621734747546</v>
      </c>
      <c r="J103" s="8"/>
      <c r="K103" s="220"/>
      <c r="L103" s="145"/>
      <c r="M103" s="145"/>
      <c r="N103" s="145"/>
    </row>
    <row r="104" spans="1:16" x14ac:dyDescent="0.25">
      <c r="A104" s="231"/>
      <c r="J104" s="8"/>
      <c r="K104" s="220"/>
      <c r="L104" s="145"/>
      <c r="M104" s="145"/>
      <c r="N104" s="145"/>
    </row>
    <row r="105" spans="1:16" x14ac:dyDescent="0.25">
      <c r="A105" s="231">
        <v>5.8</v>
      </c>
      <c r="F105" s="221">
        <f>rigidezza!Z83</f>
        <v>13.791173807607588</v>
      </c>
      <c r="J105" s="8"/>
      <c r="K105" s="220"/>
      <c r="L105" s="145"/>
      <c r="M105" s="145"/>
      <c r="N105" s="145"/>
    </row>
    <row r="106" spans="1:16" x14ac:dyDescent="0.25">
      <c r="A106" s="231">
        <v>6</v>
      </c>
      <c r="B106" s="230">
        <f>rigidezza!X83</f>
        <v>23.251855323175192</v>
      </c>
      <c r="D106" s="223">
        <f>rigidezza!Y83</f>
        <v>36.258658182989691</v>
      </c>
      <c r="H106" s="223">
        <f>rigidezza!AA83</f>
        <v>36.258658182989691</v>
      </c>
      <c r="J106" s="8"/>
      <c r="K106" s="223">
        <f>rigidezza!AB83</f>
        <v>36.258658182989691</v>
      </c>
      <c r="L106" s="145"/>
      <c r="M106" s="145"/>
      <c r="N106" s="145"/>
    </row>
    <row r="107" spans="1:16" x14ac:dyDescent="0.25">
      <c r="A107" s="231"/>
      <c r="J107" s="8"/>
      <c r="K107" s="220"/>
      <c r="L107" s="145"/>
      <c r="M107" s="145"/>
      <c r="N107" s="145"/>
    </row>
    <row r="108" spans="1:16" x14ac:dyDescent="0.25">
      <c r="A108" s="231">
        <v>11.6</v>
      </c>
      <c r="B108" s="230">
        <f>rigidezza!X84</f>
        <v>23.251855323175192</v>
      </c>
      <c r="J108" s="8"/>
      <c r="K108" s="220"/>
      <c r="L108" s="145"/>
      <c r="M108" s="145"/>
      <c r="N108" s="145"/>
    </row>
    <row r="109" spans="1:16" x14ac:dyDescent="0.25">
      <c r="A109" s="231">
        <v>11.8</v>
      </c>
      <c r="D109" s="223">
        <f>rigidezza!Y84</f>
        <v>36.258658182989691</v>
      </c>
      <c r="F109" s="221">
        <f>rigidezza!Z84</f>
        <v>13.791173807607588</v>
      </c>
      <c r="G109" s="208"/>
      <c r="H109" s="221">
        <f>rigidezza!AA84</f>
        <v>11.113531924153465</v>
      </c>
      <c r="I109" s="216"/>
      <c r="J109" s="221">
        <f>rigidezza!AB84</f>
        <v>11.113531924153465</v>
      </c>
      <c r="K109" s="217"/>
      <c r="L109" s="145"/>
      <c r="M109" s="145"/>
      <c r="N109" s="145"/>
    </row>
    <row r="110" spans="1:16" x14ac:dyDescent="0.25">
      <c r="A110" s="231"/>
      <c r="F110" s="215"/>
      <c r="L110" s="145"/>
      <c r="M110" s="145"/>
      <c r="N110" s="145"/>
    </row>
    <row r="111" spans="1:16" x14ac:dyDescent="0.25">
      <c r="A111" s="231"/>
      <c r="F111" s="220"/>
      <c r="L111" s="145"/>
      <c r="M111" s="145"/>
      <c r="N111" s="145"/>
    </row>
    <row r="112" spans="1:16" x14ac:dyDescent="0.25">
      <c r="A112" s="231">
        <v>17.05</v>
      </c>
      <c r="D112" s="223">
        <f>rigidezza!Y85</f>
        <v>22.197621734747546</v>
      </c>
      <c r="E112" s="224"/>
      <c r="F112" s="221">
        <f>rigidezza!Z85</f>
        <v>11.113531924153465</v>
      </c>
      <c r="L112" s="145"/>
      <c r="M112" s="145"/>
      <c r="N112" s="145"/>
    </row>
    <row r="113" spans="1:16" x14ac:dyDescent="0.25">
      <c r="A113" s="231">
        <v>17.25</v>
      </c>
      <c r="B113" s="229">
        <f>rigidezza!X85</f>
        <v>1.6186402485426059</v>
      </c>
      <c r="C113" s="216"/>
      <c r="D113" s="216"/>
      <c r="E113" s="216"/>
      <c r="F113" s="217"/>
      <c r="L113" s="145"/>
      <c r="M113" s="145"/>
      <c r="N113" s="145"/>
    </row>
    <row r="114" spans="1:16" x14ac:dyDescent="0.25">
      <c r="A114" s="145"/>
      <c r="B114" s="145"/>
      <c r="C114" s="145"/>
      <c r="D114" s="145"/>
      <c r="E114" s="145"/>
      <c r="F114" s="145"/>
      <c r="G114" s="145"/>
      <c r="H114" s="145"/>
      <c r="I114" s="145"/>
      <c r="J114" s="145"/>
      <c r="K114" s="145"/>
      <c r="L114" s="145"/>
      <c r="M114" s="145"/>
      <c r="N114" s="145"/>
    </row>
    <row r="115" spans="1:16" x14ac:dyDescent="0.25">
      <c r="A115" s="145" t="s">
        <v>17</v>
      </c>
      <c r="B115" s="145">
        <f>SUM(B102:B113)</f>
        <v>49.740991143435593</v>
      </c>
      <c r="C115" s="145"/>
      <c r="D115" s="145">
        <f>SUM(D102:D113)</f>
        <v>116.91255983547447</v>
      </c>
      <c r="E115" s="145"/>
      <c r="F115" s="145">
        <f>SUM(F102:F112)</f>
        <v>60.89350127411619</v>
      </c>
      <c r="G115" s="145"/>
      <c r="H115" s="145">
        <f>SUM(H102:H113)</f>
        <v>58.485722031296618</v>
      </c>
      <c r="I115" s="145"/>
      <c r="J115" s="145">
        <f>SUM(J102:J113)</f>
        <v>22.22706384830693</v>
      </c>
      <c r="K115" s="145">
        <f>SUM(K102:K113)</f>
        <v>36.258658182989691</v>
      </c>
      <c r="L115" s="145"/>
      <c r="M115" s="145">
        <f>SUM(B115:K115)</f>
        <v>344.51849631561953</v>
      </c>
      <c r="N115" s="145"/>
      <c r="O115" s="225" t="s">
        <v>257</v>
      </c>
      <c r="P115" s="232">
        <f>M116/M115</f>
        <v>12.157511381028584</v>
      </c>
    </row>
    <row r="116" spans="1:16" x14ac:dyDescent="0.25">
      <c r="A116" t="s">
        <v>258</v>
      </c>
      <c r="B116" s="145">
        <f>B115*B101</f>
        <v>106.94313095838652</v>
      </c>
      <c r="C116" s="145"/>
      <c r="D116" s="145">
        <f>D115*D101</f>
        <v>900.22671073315348</v>
      </c>
      <c r="E116" s="145"/>
      <c r="F116" s="145">
        <f>F115*F101</f>
        <v>770.30279111756977</v>
      </c>
      <c r="G116" s="145"/>
      <c r="H116" s="145">
        <f>H115*H101</f>
        <v>1055.667282664904</v>
      </c>
      <c r="I116" s="145"/>
      <c r="J116" s="145">
        <f>J115*J101</f>
        <v>512.33382170347477</v>
      </c>
      <c r="K116" s="145">
        <f>K115*K101</f>
        <v>843.01380275451038</v>
      </c>
      <c r="L116" s="145"/>
      <c r="M116" s="145">
        <f>SUM(B116:K116)</f>
        <v>4188.487539931999</v>
      </c>
    </row>
    <row r="118" spans="1:16" ht="15.75" thickBot="1" x14ac:dyDescent="0.3"/>
    <row r="119" spans="1:16" ht="15.75" thickBot="1" x14ac:dyDescent="0.3">
      <c r="B119" s="286" t="s">
        <v>262</v>
      </c>
      <c r="C119" s="280"/>
      <c r="D119" s="280"/>
      <c r="E119" s="280"/>
      <c r="F119" s="280"/>
      <c r="G119" s="280"/>
      <c r="H119" s="280"/>
      <c r="I119" s="280"/>
      <c r="J119" s="281"/>
    </row>
    <row r="122" spans="1:16" x14ac:dyDescent="0.25">
      <c r="L122" t="s">
        <v>17</v>
      </c>
      <c r="M122" t="s">
        <v>246</v>
      </c>
      <c r="N122" t="s">
        <v>247</v>
      </c>
    </row>
    <row r="123" spans="1:16" x14ac:dyDescent="0.25">
      <c r="A123" s="145"/>
      <c r="B123" s="227">
        <v>2.15</v>
      </c>
      <c r="C123" s="227"/>
      <c r="D123" s="227">
        <v>7.7</v>
      </c>
      <c r="E123" s="227"/>
      <c r="F123" s="227">
        <v>12.65</v>
      </c>
      <c r="G123" s="227"/>
      <c r="H123" s="227">
        <v>18.05</v>
      </c>
      <c r="I123" s="227"/>
      <c r="J123" s="227">
        <v>23.05</v>
      </c>
      <c r="K123" s="227">
        <v>23.25</v>
      </c>
      <c r="L123" s="145"/>
      <c r="M123" s="145"/>
      <c r="N123" s="145"/>
    </row>
    <row r="124" spans="1:16" x14ac:dyDescent="0.25">
      <c r="A124" s="231">
        <v>0.65</v>
      </c>
      <c r="B124" s="229">
        <f>rigidezza!X51</f>
        <v>19.271243061629978</v>
      </c>
      <c r="H124" s="228">
        <f>rigidezza!AA51</f>
        <v>32.060671351242647</v>
      </c>
      <c r="J124" s="228">
        <f>rigidezza!AB51</f>
        <v>19.271243061629978</v>
      </c>
      <c r="K124" s="220"/>
      <c r="L124" s="145">
        <f>SUM(B124:J124)</f>
        <v>70.603157474502595</v>
      </c>
      <c r="M124" s="145">
        <f>L124*A124</f>
        <v>45.892052358426689</v>
      </c>
      <c r="N124" s="145"/>
    </row>
    <row r="125" spans="1:16" x14ac:dyDescent="0.25">
      <c r="A125" s="231">
        <v>0.85</v>
      </c>
      <c r="D125" s="223">
        <f>rigidezza!Y51</f>
        <v>13.079609944068313</v>
      </c>
      <c r="F125" s="223">
        <f>rigidezza!Z51</f>
        <v>13.89437743568411</v>
      </c>
      <c r="J125" s="8"/>
      <c r="K125" s="220"/>
      <c r="L125" s="145">
        <f>SUM(B125:J125)</f>
        <v>26.973987379752423</v>
      </c>
      <c r="M125" s="145">
        <f>L125*A125</f>
        <v>22.92788927278956</v>
      </c>
      <c r="N125" s="145"/>
    </row>
    <row r="126" spans="1:16" x14ac:dyDescent="0.25">
      <c r="A126" s="231"/>
      <c r="J126" s="8"/>
      <c r="K126" s="220"/>
      <c r="L126" s="145"/>
      <c r="M126" s="145"/>
      <c r="N126" s="145"/>
    </row>
    <row r="127" spans="1:16" x14ac:dyDescent="0.25">
      <c r="A127" s="231">
        <v>5.8</v>
      </c>
      <c r="D127">
        <f>rigidezza!Y52</f>
        <v>13.079609944068313</v>
      </c>
      <c r="F127" s="221">
        <f>rigidezza!Z52</f>
        <v>32.060671351242647</v>
      </c>
      <c r="J127" s="8"/>
      <c r="K127" s="220"/>
      <c r="L127" s="145">
        <f>SUM(B127:J127)</f>
        <v>45.140281295310956</v>
      </c>
      <c r="M127" s="145">
        <f>L127*A127</f>
        <v>261.81363151280351</v>
      </c>
      <c r="N127" s="145"/>
    </row>
    <row r="128" spans="1:16" x14ac:dyDescent="0.25">
      <c r="A128" s="231">
        <v>6</v>
      </c>
      <c r="B128" s="230">
        <f>rigidezza!X52</f>
        <v>10.238945321661589</v>
      </c>
      <c r="D128" s="223"/>
      <c r="H128" s="223">
        <f>rigidezza!AA52</f>
        <v>10.589062664704553</v>
      </c>
      <c r="J128" s="8"/>
      <c r="K128" s="223">
        <f>rigidezza!AB52</f>
        <v>1.691064490631375</v>
      </c>
      <c r="L128" s="145">
        <f>SUM(B128:K128)</f>
        <v>22.519072476997518</v>
      </c>
      <c r="M128" s="145">
        <f>L128*A128</f>
        <v>135.1144348619851</v>
      </c>
      <c r="N128" s="145"/>
    </row>
    <row r="129" spans="1:18" x14ac:dyDescent="0.25">
      <c r="A129" s="231"/>
      <c r="J129" s="8"/>
      <c r="K129" s="220"/>
      <c r="L129" s="145"/>
      <c r="M129" s="145"/>
      <c r="N129" s="145"/>
    </row>
    <row r="130" spans="1:18" x14ac:dyDescent="0.25">
      <c r="A130" s="231">
        <v>11.6</v>
      </c>
      <c r="B130" s="230">
        <f>rigidezza!X53</f>
        <v>10.238945321661589</v>
      </c>
      <c r="J130" s="8"/>
      <c r="K130" s="220"/>
      <c r="L130" s="145">
        <f>SUM(B130:J130)</f>
        <v>10.238945321661589</v>
      </c>
      <c r="M130" s="145">
        <f>L130*A130</f>
        <v>118.77176573127443</v>
      </c>
      <c r="N130" s="145"/>
    </row>
    <row r="131" spans="1:18" x14ac:dyDescent="0.25">
      <c r="A131" s="231">
        <v>11.8</v>
      </c>
      <c r="D131" s="223">
        <f>rigidezza!Y53</f>
        <v>13.079609944068313</v>
      </c>
      <c r="F131" s="221">
        <f>rigidezza!Z53</f>
        <v>32.060671351242647</v>
      </c>
      <c r="G131" s="208"/>
      <c r="H131" s="221">
        <f>rigidezza!AA53</f>
        <v>32.060671351242647</v>
      </c>
      <c r="I131" s="216"/>
      <c r="J131" s="221">
        <f>rigidezza!AB53</f>
        <v>19.271243061629978</v>
      </c>
      <c r="K131" s="217"/>
      <c r="L131" s="145">
        <f>SUM(B131:J131)</f>
        <v>96.472195708183577</v>
      </c>
      <c r="M131" s="145">
        <f>L131*A131</f>
        <v>1138.3719093565662</v>
      </c>
      <c r="N131" s="145"/>
    </row>
    <row r="132" spans="1:18" x14ac:dyDescent="0.25">
      <c r="A132" s="231"/>
      <c r="F132" s="215"/>
      <c r="L132" s="145"/>
      <c r="M132" s="145"/>
      <c r="N132" s="145"/>
    </row>
    <row r="133" spans="1:18" x14ac:dyDescent="0.25">
      <c r="A133" s="231"/>
      <c r="F133" s="220"/>
      <c r="L133" s="145"/>
      <c r="M133" s="145"/>
      <c r="N133" s="145"/>
    </row>
    <row r="134" spans="1:18" x14ac:dyDescent="0.25">
      <c r="A134" s="231">
        <v>17.05</v>
      </c>
      <c r="D134" s="223">
        <f>rigidezza!Y54</f>
        <v>13.079609944068313</v>
      </c>
      <c r="E134" s="224"/>
      <c r="F134" s="221">
        <f>rigidezza!Z54</f>
        <v>19.271243061629978</v>
      </c>
      <c r="L134" s="145">
        <f>SUM(B134:J134)</f>
        <v>32.350853005698291</v>
      </c>
      <c r="M134" s="145">
        <f>L134*A134</f>
        <v>551.58204374715592</v>
      </c>
      <c r="N134" s="145"/>
    </row>
    <row r="135" spans="1:18" x14ac:dyDescent="0.25">
      <c r="A135" s="231">
        <v>17.25</v>
      </c>
      <c r="B135" s="229">
        <f>rigidezza!X54</f>
        <v>19.271243061629978</v>
      </c>
      <c r="C135" s="216"/>
      <c r="D135" s="216"/>
      <c r="E135" s="216"/>
      <c r="F135" s="217"/>
      <c r="L135" s="145">
        <f>SUM(B135:J135)</f>
        <v>19.271243061629978</v>
      </c>
      <c r="M135" s="145">
        <f>L135*A135</f>
        <v>332.42894281311709</v>
      </c>
      <c r="N135" s="145"/>
    </row>
    <row r="136" spans="1:18" x14ac:dyDescent="0.25">
      <c r="A136" s="145"/>
      <c r="B136" s="145"/>
      <c r="C136" s="145"/>
      <c r="D136" s="145"/>
      <c r="E136" s="145"/>
      <c r="F136" s="145"/>
      <c r="G136" s="145"/>
      <c r="H136" s="145"/>
      <c r="I136" s="145"/>
      <c r="J136" s="145"/>
      <c r="K136" s="145"/>
      <c r="L136" s="145"/>
      <c r="M136" s="145"/>
      <c r="N136" s="145"/>
    </row>
    <row r="137" spans="1:18" x14ac:dyDescent="0.25">
      <c r="A137" s="145"/>
      <c r="B137" s="145"/>
      <c r="C137" s="145"/>
      <c r="D137" s="145"/>
      <c r="E137" s="145"/>
      <c r="F137" s="145"/>
      <c r="G137" s="145"/>
      <c r="H137" s="145"/>
      <c r="I137" s="145"/>
      <c r="J137" s="145"/>
      <c r="K137" s="145"/>
      <c r="L137" s="145">
        <f>SUM(L124:L135)</f>
        <v>323.56973572373693</v>
      </c>
      <c r="M137" s="145">
        <f>SUM(M124:M135)</f>
        <v>2606.9026696541187</v>
      </c>
      <c r="N137" s="145"/>
      <c r="O137" s="223" t="s">
        <v>256</v>
      </c>
      <c r="P137" s="223">
        <f>M137/L137</f>
        <v>8.0566949928836546</v>
      </c>
    </row>
    <row r="138" spans="1:18" x14ac:dyDescent="0.25">
      <c r="B138" s="145"/>
      <c r="C138" s="145"/>
      <c r="D138" s="145"/>
      <c r="E138" s="145"/>
      <c r="F138" s="145"/>
      <c r="G138" s="145"/>
      <c r="H138" s="145"/>
      <c r="I138" s="145"/>
      <c r="J138" s="145"/>
      <c r="K138" s="145"/>
      <c r="L138" s="145"/>
      <c r="M138" s="145"/>
    </row>
    <row r="139" spans="1:18" x14ac:dyDescent="0.25">
      <c r="A139" s="145"/>
      <c r="B139" s="227">
        <v>2.15</v>
      </c>
      <c r="C139" s="227"/>
      <c r="D139" s="227">
        <v>7.7</v>
      </c>
      <c r="E139" s="227"/>
      <c r="F139" s="227">
        <v>12.65</v>
      </c>
      <c r="G139" s="227"/>
      <c r="H139" s="227">
        <v>18.05</v>
      </c>
      <c r="I139" s="227"/>
      <c r="J139" s="227">
        <v>23.05</v>
      </c>
      <c r="K139" s="227">
        <v>23.25</v>
      </c>
      <c r="L139" s="145"/>
      <c r="M139" s="145"/>
      <c r="N139" s="145"/>
    </row>
    <row r="140" spans="1:18" x14ac:dyDescent="0.25">
      <c r="A140" s="231">
        <v>0.65</v>
      </c>
      <c r="B140" s="229">
        <f>rigidezza!X58</f>
        <v>1.6186402485426059</v>
      </c>
      <c r="H140" s="228">
        <f>rigidezza!AA58</f>
        <v>10.025000766838676</v>
      </c>
      <c r="J140" s="228">
        <f>rigidezza!AB58</f>
        <v>10.025000766838676</v>
      </c>
      <c r="K140" s="220"/>
      <c r="L140" s="145"/>
      <c r="M140" s="145"/>
      <c r="N140" s="145"/>
    </row>
    <row r="141" spans="1:18" x14ac:dyDescent="0.25">
      <c r="A141" s="231">
        <v>0.85</v>
      </c>
      <c r="D141" s="223">
        <f>rigidezza!Y58</f>
        <v>18.544280512529447</v>
      </c>
      <c r="F141" s="223">
        <f>rigidezza!Z58</f>
        <v>18.544280512529447</v>
      </c>
      <c r="J141" s="8"/>
      <c r="K141" s="220"/>
      <c r="L141" s="145"/>
      <c r="M141" s="145"/>
      <c r="N141" s="145"/>
    </row>
    <row r="142" spans="1:18" x14ac:dyDescent="0.25">
      <c r="A142" s="231"/>
      <c r="J142" s="8"/>
      <c r="K142" s="220"/>
      <c r="L142" s="145"/>
      <c r="M142" s="145"/>
      <c r="N142" s="145"/>
    </row>
    <row r="143" spans="1:18" x14ac:dyDescent="0.25">
      <c r="A143" s="231">
        <v>5.8</v>
      </c>
      <c r="F143" s="221">
        <f>rigidezza!Z59</f>
        <v>12.902299788370408</v>
      </c>
      <c r="J143" s="8"/>
      <c r="K143" s="220"/>
      <c r="L143" s="145"/>
      <c r="M143" s="145"/>
      <c r="N143" s="145"/>
    </row>
    <row r="144" spans="1:18" x14ac:dyDescent="0.25">
      <c r="A144" s="231">
        <v>6</v>
      </c>
      <c r="B144" s="230">
        <f>rigidezza!X59</f>
        <v>19.71033635643569</v>
      </c>
      <c r="D144" s="223">
        <f>rigidezza!Y59</f>
        <v>31.03928380113317</v>
      </c>
      <c r="H144" s="223">
        <f>rigidezza!AA59</f>
        <v>31.03928380113317</v>
      </c>
      <c r="J144" s="8"/>
      <c r="K144" s="223">
        <f>rigidezza!AB59</f>
        <v>31.03928380113317</v>
      </c>
      <c r="L144" s="145"/>
      <c r="M144" s="145"/>
      <c r="N144" s="145"/>
      <c r="Q144">
        <f>rigidezza!AA61</f>
        <v>0</v>
      </c>
      <c r="R144">
        <f>rigidezza!AB61</f>
        <v>0</v>
      </c>
    </row>
    <row r="145" spans="1:28" x14ac:dyDescent="0.25">
      <c r="A145" s="231"/>
      <c r="J145" s="8"/>
      <c r="K145" s="220"/>
      <c r="L145" s="145"/>
      <c r="M145" s="145"/>
      <c r="N145" s="145"/>
    </row>
    <row r="146" spans="1:28" x14ac:dyDescent="0.25">
      <c r="A146" s="231">
        <v>11.6</v>
      </c>
      <c r="B146" s="230">
        <f>rigidezza!X60</f>
        <v>19.71033635643569</v>
      </c>
      <c r="J146" s="8"/>
      <c r="K146" s="220"/>
      <c r="L146" s="145"/>
      <c r="M146" s="145"/>
      <c r="N146" s="145"/>
    </row>
    <row r="147" spans="1:28" x14ac:dyDescent="0.25">
      <c r="A147" s="231">
        <v>11.8</v>
      </c>
      <c r="D147" s="223">
        <f>rigidezza!Y60</f>
        <v>31.03928380113317</v>
      </c>
      <c r="F147" s="221">
        <f>rigidezza!Z60</f>
        <v>12.902299788370408</v>
      </c>
      <c r="G147" s="208"/>
      <c r="H147" s="221">
        <f>rigidezza!AA60</f>
        <v>10.025000766838676</v>
      </c>
      <c r="I147" s="216"/>
      <c r="J147" s="221">
        <f>rigidezza!AB60</f>
        <v>10.025000766838676</v>
      </c>
      <c r="K147" s="217"/>
      <c r="L147" s="145"/>
      <c r="M147" s="145"/>
      <c r="N147" s="145"/>
    </row>
    <row r="148" spans="1:28" x14ac:dyDescent="0.25">
      <c r="A148" s="231"/>
      <c r="F148" s="215"/>
      <c r="L148" s="145"/>
      <c r="M148" s="145"/>
      <c r="N148" s="145"/>
    </row>
    <row r="149" spans="1:28" x14ac:dyDescent="0.25">
      <c r="A149" s="231"/>
      <c r="F149" s="220"/>
      <c r="L149" s="145"/>
      <c r="M149" s="145"/>
      <c r="N149" s="145"/>
    </row>
    <row r="150" spans="1:28" x14ac:dyDescent="0.25">
      <c r="A150" s="231">
        <v>17.05</v>
      </c>
      <c r="D150" s="223">
        <f>rigidezza!Y61</f>
        <v>18.544280512529447</v>
      </c>
      <c r="E150" s="224"/>
      <c r="F150" s="221">
        <f>rigidezza!Z61</f>
        <v>10.025000766838676</v>
      </c>
      <c r="L150" s="145"/>
      <c r="M150" s="145"/>
      <c r="N150" s="145"/>
    </row>
    <row r="151" spans="1:28" x14ac:dyDescent="0.25">
      <c r="A151" s="231">
        <v>17.25</v>
      </c>
      <c r="B151" s="229">
        <f>rigidezza!X61</f>
        <v>1.6186402485426059</v>
      </c>
      <c r="C151" s="216"/>
      <c r="D151" s="216"/>
      <c r="E151" s="216"/>
      <c r="F151" s="217"/>
      <c r="L151" s="145"/>
      <c r="M151" s="145"/>
      <c r="N151" s="145"/>
    </row>
    <row r="152" spans="1:28" x14ac:dyDescent="0.25">
      <c r="A152" s="145"/>
      <c r="B152" s="145"/>
      <c r="C152" s="145"/>
      <c r="D152" s="145"/>
      <c r="E152" s="145"/>
      <c r="F152" s="145"/>
      <c r="G152" s="145"/>
      <c r="H152" s="145"/>
      <c r="I152" s="145"/>
      <c r="J152" s="145"/>
      <c r="K152" s="145"/>
      <c r="L152" s="145"/>
      <c r="M152" s="145"/>
      <c r="N152" s="145"/>
    </row>
    <row r="153" spans="1:28" x14ac:dyDescent="0.25">
      <c r="A153" s="145" t="s">
        <v>17</v>
      </c>
      <c r="B153" s="145">
        <f>SUM(B140:B151)</f>
        <v>42.657953209956588</v>
      </c>
      <c r="C153" s="145"/>
      <c r="D153" s="145">
        <f>SUM(D140:D151)</f>
        <v>99.167128627325241</v>
      </c>
      <c r="E153" s="145"/>
      <c r="F153" s="145">
        <f>SUM(F140:F151)</f>
        <v>54.37388085610894</v>
      </c>
      <c r="G153" s="145"/>
      <c r="H153" s="145">
        <f>SUM(H140:H151)</f>
        <v>51.089285334810526</v>
      </c>
      <c r="I153" s="145"/>
      <c r="J153" s="145">
        <f>SUM(J140:J151)</f>
        <v>20.050001533677353</v>
      </c>
      <c r="K153" s="145">
        <f>SUM(K140:K151)</f>
        <v>31.03928380113317</v>
      </c>
      <c r="L153" s="145"/>
      <c r="M153" s="145">
        <f>SUM(B153:K153)</f>
        <v>298.37753336301182</v>
      </c>
      <c r="N153" s="145"/>
      <c r="O153" s="225" t="s">
        <v>257</v>
      </c>
      <c r="P153" s="232">
        <f>M154/M153</f>
        <v>12.229836896744343</v>
      </c>
    </row>
    <row r="154" spans="1:28" x14ac:dyDescent="0.25">
      <c r="A154" t="s">
        <v>258</v>
      </c>
      <c r="B154" s="145">
        <f>B153*B139</f>
        <v>91.714599401406659</v>
      </c>
      <c r="C154" s="145"/>
      <c r="D154" s="145">
        <f>D153*D139</f>
        <v>763.58689043040442</v>
      </c>
      <c r="E154" s="145"/>
      <c r="F154" s="145">
        <f>F153*F139</f>
        <v>687.82959282977811</v>
      </c>
      <c r="G154" s="145"/>
      <c r="H154" s="145">
        <f>H153*H139</f>
        <v>922.16160029333003</v>
      </c>
      <c r="I154" s="145"/>
      <c r="J154" s="145">
        <f>J153*J139</f>
        <v>462.152535351263</v>
      </c>
      <c r="K154" s="145">
        <f>K153*K139</f>
        <v>721.66334837634622</v>
      </c>
      <c r="L154" s="145"/>
      <c r="M154" s="145">
        <f>SUM(B154:K154)</f>
        <v>3649.1085666825284</v>
      </c>
    </row>
    <row r="156" spans="1:28" ht="15.75" thickBot="1" x14ac:dyDescent="0.3"/>
    <row r="157" spans="1:28" ht="15.75" thickBot="1" x14ac:dyDescent="0.3">
      <c r="B157" s="286" t="s">
        <v>263</v>
      </c>
      <c r="C157" s="280"/>
      <c r="D157" s="280"/>
      <c r="E157" s="280"/>
      <c r="F157" s="280"/>
      <c r="G157" s="280"/>
      <c r="H157" s="280"/>
      <c r="I157" s="280"/>
      <c r="J157" s="281"/>
    </row>
    <row r="158" spans="1:28" x14ac:dyDescent="0.25">
      <c r="Q158" s="8"/>
      <c r="R158" s="8"/>
      <c r="Y158" s="8"/>
      <c r="Z158" s="8"/>
      <c r="AA158" s="8"/>
      <c r="AB158" s="8"/>
    </row>
    <row r="159" spans="1:28" x14ac:dyDescent="0.25">
      <c r="Y159" s="8"/>
      <c r="Z159" s="8"/>
      <c r="AA159" s="8"/>
      <c r="AB159" s="8"/>
    </row>
    <row r="160" spans="1:28" x14ac:dyDescent="0.25">
      <c r="L160" t="s">
        <v>17</v>
      </c>
      <c r="M160" t="s">
        <v>246</v>
      </c>
      <c r="N160" t="s">
        <v>247</v>
      </c>
      <c r="Y160" s="8"/>
      <c r="Z160" s="8"/>
      <c r="AA160" s="8"/>
      <c r="AB160" s="8"/>
    </row>
    <row r="161" spans="1:28" x14ac:dyDescent="0.25">
      <c r="A161" s="145"/>
      <c r="B161" s="227">
        <v>2.15</v>
      </c>
      <c r="C161" s="227"/>
      <c r="D161" s="227">
        <v>7.7</v>
      </c>
      <c r="E161" s="227"/>
      <c r="F161" s="227">
        <v>12.65</v>
      </c>
      <c r="G161" s="227"/>
      <c r="H161" s="227">
        <v>18.05</v>
      </c>
      <c r="I161" s="227"/>
      <c r="J161" s="227">
        <v>23.05</v>
      </c>
      <c r="K161" s="227">
        <v>23.25</v>
      </c>
      <c r="L161" s="145"/>
      <c r="M161" s="145"/>
      <c r="N161" s="145"/>
      <c r="X161" s="8"/>
      <c r="Y161" s="8"/>
      <c r="Z161" s="8"/>
      <c r="AA161" s="8"/>
      <c r="AB161" s="8"/>
    </row>
    <row r="162" spans="1:28" x14ac:dyDescent="0.25">
      <c r="A162" s="231">
        <v>0.65</v>
      </c>
      <c r="B162" s="229">
        <f>rigidezza!X28</f>
        <v>15.876813353667313</v>
      </c>
      <c r="H162" s="228">
        <f>rigidezza!AA28</f>
        <v>27.36191489649072</v>
      </c>
      <c r="J162" s="228">
        <f>rigidezza!AB28</f>
        <v>15.876813353667313</v>
      </c>
      <c r="K162" s="220"/>
      <c r="L162" s="145">
        <f>SUM(B162:J162)</f>
        <v>59.115541603825349</v>
      </c>
      <c r="M162" s="145">
        <f>L162*A162</f>
        <v>38.425102042486479</v>
      </c>
      <c r="N162" s="145"/>
      <c r="X162" s="8"/>
      <c r="Y162" s="8"/>
      <c r="Z162" s="8"/>
      <c r="AA162" s="8"/>
      <c r="AB162" s="8"/>
    </row>
    <row r="163" spans="1:28" x14ac:dyDescent="0.25">
      <c r="A163" s="231">
        <v>0.85</v>
      </c>
      <c r="D163" s="223">
        <f>rigidezza!Y28</f>
        <v>12.273300752045031</v>
      </c>
      <c r="F163" s="223">
        <f>rigidezza!Z28</f>
        <v>12.273300752045031</v>
      </c>
      <c r="J163" s="8"/>
      <c r="K163" s="220"/>
      <c r="L163" s="145">
        <f>SUM(B163:J163)</f>
        <v>24.546601504090063</v>
      </c>
      <c r="M163" s="145">
        <f>L163*A163</f>
        <v>20.864611278476552</v>
      </c>
      <c r="N163" s="145"/>
      <c r="X163" s="8"/>
      <c r="Y163" s="8"/>
      <c r="Z163" s="8"/>
      <c r="AA163" s="8"/>
      <c r="AB163" s="8"/>
    </row>
    <row r="164" spans="1:28" x14ac:dyDescent="0.25">
      <c r="A164" s="231"/>
      <c r="J164" s="8"/>
      <c r="K164" s="220"/>
      <c r="L164" s="145"/>
      <c r="M164" s="145"/>
      <c r="N164" s="145"/>
      <c r="X164" s="8"/>
      <c r="Y164" s="8"/>
      <c r="Z164" s="8"/>
      <c r="AA164" s="8"/>
      <c r="AB164" s="8"/>
    </row>
    <row r="165" spans="1:28" x14ac:dyDescent="0.25">
      <c r="A165" s="231">
        <v>5.8</v>
      </c>
      <c r="F165" s="221">
        <f>rigidezza!Z29</f>
        <v>27.36191489649072</v>
      </c>
      <c r="J165" s="8"/>
      <c r="K165" s="220"/>
      <c r="L165" s="145">
        <f>SUM(B165:J165)</f>
        <v>27.36191489649072</v>
      </c>
      <c r="M165" s="145">
        <f>L165*A165</f>
        <v>158.69910639964618</v>
      </c>
      <c r="N165" s="145"/>
    </row>
    <row r="166" spans="1:28" x14ac:dyDescent="0.25">
      <c r="A166" s="231">
        <v>6</v>
      </c>
      <c r="B166" s="230">
        <f>rigidezza!X29</f>
        <v>9.2665132321689434</v>
      </c>
      <c r="D166" s="223">
        <f>rigidezza!Y29</f>
        <v>12.273300752045031</v>
      </c>
      <c r="H166" s="223">
        <f>rigidezza!AA29</f>
        <v>9.6927244182843317</v>
      </c>
      <c r="J166" s="8"/>
      <c r="K166" s="223">
        <f>rigidezza!AB29</f>
        <v>1.691064490631375</v>
      </c>
      <c r="L166" s="145">
        <f>SUM(B166:K166)</f>
        <v>32.923602893129683</v>
      </c>
      <c r="M166" s="145">
        <f>L166*A166</f>
        <v>197.5416173587781</v>
      </c>
      <c r="N166" s="145"/>
    </row>
    <row r="167" spans="1:28" x14ac:dyDescent="0.25">
      <c r="A167" s="231"/>
      <c r="J167" s="8"/>
      <c r="K167" s="220"/>
      <c r="L167" s="145"/>
      <c r="M167" s="145"/>
      <c r="N167" s="145"/>
    </row>
    <row r="168" spans="1:28" x14ac:dyDescent="0.25">
      <c r="A168" s="231">
        <v>11.6</v>
      </c>
      <c r="B168" s="230">
        <f>rigidezza!X30</f>
        <v>9.2665132321689434</v>
      </c>
      <c r="J168" s="8"/>
      <c r="K168" s="220"/>
      <c r="L168" s="145">
        <f>SUM(B168:J168)</f>
        <v>9.2665132321689434</v>
      </c>
      <c r="M168" s="145">
        <f>L168*A168</f>
        <v>107.49155349315974</v>
      </c>
      <c r="N168" s="145"/>
    </row>
    <row r="169" spans="1:28" x14ac:dyDescent="0.25">
      <c r="A169" s="231">
        <v>11.8</v>
      </c>
      <c r="D169" s="223">
        <f>rigidezza!Y30</f>
        <v>12.273300752045031</v>
      </c>
      <c r="F169" s="221">
        <f>rigidezza!Z30</f>
        <v>27.36191489649072</v>
      </c>
      <c r="G169" s="208"/>
      <c r="H169" s="221">
        <f>rigidezza!AA30</f>
        <v>27.36191489649072</v>
      </c>
      <c r="I169" s="216"/>
      <c r="J169" s="221">
        <f>rigidezza!AB30</f>
        <v>15.876813353667313</v>
      </c>
      <c r="K169" s="217"/>
      <c r="L169" s="145">
        <f>SUM(B169:J169)</f>
        <v>82.873943898693781</v>
      </c>
      <c r="M169" s="145">
        <f>L169*A169</f>
        <v>977.91253800458662</v>
      </c>
      <c r="N169" s="145"/>
    </row>
    <row r="170" spans="1:28" x14ac:dyDescent="0.25">
      <c r="A170" s="231"/>
      <c r="F170" s="215"/>
      <c r="L170" s="145"/>
      <c r="M170" s="145"/>
      <c r="N170" s="145"/>
    </row>
    <row r="171" spans="1:28" x14ac:dyDescent="0.25">
      <c r="A171" s="231"/>
      <c r="F171" s="220"/>
      <c r="L171" s="145"/>
      <c r="M171" s="145"/>
      <c r="N171" s="145"/>
    </row>
    <row r="172" spans="1:28" x14ac:dyDescent="0.25">
      <c r="A172" s="231">
        <v>17.05</v>
      </c>
      <c r="D172" s="223">
        <f>rigidezza!Y31</f>
        <v>12.273300752045031</v>
      </c>
      <c r="E172" s="224"/>
      <c r="F172" s="221">
        <f>rigidezza!Z31</f>
        <v>15.876813353667313</v>
      </c>
      <c r="L172" s="145">
        <f>SUM(B172:J172)</f>
        <v>28.150114105712344</v>
      </c>
      <c r="M172" s="145">
        <f>L172*A172</f>
        <v>479.95944550239551</v>
      </c>
      <c r="N172" s="145"/>
    </row>
    <row r="173" spans="1:28" x14ac:dyDescent="0.25">
      <c r="A173" s="231">
        <v>17.25</v>
      </c>
      <c r="B173" s="229">
        <f>rigidezza!X31</f>
        <v>15.876813353667313</v>
      </c>
      <c r="C173" s="216"/>
      <c r="D173" s="216"/>
      <c r="E173" s="216"/>
      <c r="F173" s="217"/>
      <c r="L173" s="145">
        <f>SUM(B173:J173)</f>
        <v>15.876813353667313</v>
      </c>
      <c r="M173" s="145">
        <f>L173*A173</f>
        <v>273.87503035076116</v>
      </c>
      <c r="N173" s="145"/>
    </row>
    <row r="174" spans="1:28" x14ac:dyDescent="0.25">
      <c r="A174" s="145"/>
      <c r="B174" s="145"/>
      <c r="C174" s="145"/>
      <c r="D174" s="145"/>
      <c r="E174" s="145"/>
      <c r="F174" s="145"/>
      <c r="G174" s="145"/>
      <c r="H174" s="145"/>
      <c r="I174" s="145"/>
      <c r="J174" s="145"/>
      <c r="K174" s="145"/>
      <c r="L174" s="145"/>
      <c r="M174" s="145"/>
      <c r="N174" s="145"/>
    </row>
    <row r="175" spans="1:28" x14ac:dyDescent="0.25">
      <c r="A175" s="145"/>
      <c r="B175" s="145"/>
      <c r="C175" s="145"/>
      <c r="D175" s="145"/>
      <c r="E175" s="145"/>
      <c r="F175" s="145"/>
      <c r="G175" s="145"/>
      <c r="H175" s="145"/>
      <c r="I175" s="145"/>
      <c r="J175" s="145"/>
      <c r="K175" s="145"/>
      <c r="L175" s="145">
        <f>SUM(L162:L173)</f>
        <v>280.11504548777822</v>
      </c>
      <c r="M175" s="145">
        <f>SUM(M162:M173)</f>
        <v>2254.7690044302904</v>
      </c>
      <c r="N175" s="145"/>
      <c r="O175" s="223" t="s">
        <v>256</v>
      </c>
      <c r="P175" s="223">
        <f>M175/L175</f>
        <v>8.0494391170740194</v>
      </c>
    </row>
    <row r="176" spans="1:28" x14ac:dyDescent="0.25">
      <c r="B176" s="145"/>
      <c r="C176" s="145"/>
      <c r="D176" s="145"/>
      <c r="E176" s="145"/>
      <c r="F176" s="145"/>
      <c r="G176" s="145"/>
      <c r="H176" s="145"/>
      <c r="I176" s="145"/>
      <c r="J176" s="145"/>
      <c r="K176" s="145"/>
      <c r="L176" s="145"/>
      <c r="M176" s="145"/>
    </row>
    <row r="177" spans="1:27" x14ac:dyDescent="0.25">
      <c r="A177" s="145"/>
      <c r="B177" s="227">
        <v>2.15</v>
      </c>
      <c r="C177" s="227"/>
      <c r="D177" s="227">
        <v>7.7</v>
      </c>
      <c r="E177" s="227"/>
      <c r="F177" s="227">
        <v>12.65</v>
      </c>
      <c r="G177" s="227"/>
      <c r="H177" s="227">
        <v>18.05</v>
      </c>
      <c r="I177" s="227"/>
      <c r="J177" s="227">
        <v>23.05</v>
      </c>
      <c r="K177" s="227">
        <v>23.25</v>
      </c>
      <c r="L177" s="145"/>
      <c r="M177" s="145"/>
      <c r="N177" s="145"/>
    </row>
    <row r="178" spans="1:27" x14ac:dyDescent="0.25">
      <c r="A178" s="231">
        <v>0.65</v>
      </c>
      <c r="B178" s="229">
        <f>rigidezza!X35</f>
        <v>1.6186402485426059</v>
      </c>
      <c r="H178" s="228">
        <f>rigidezza!AA35</f>
        <v>9.0477990046686543</v>
      </c>
      <c r="J178" s="228">
        <f>rigidezza!AB35</f>
        <v>9.0477990046686543</v>
      </c>
      <c r="K178" s="220"/>
      <c r="L178" s="145"/>
      <c r="M178" s="145"/>
      <c r="N178" s="145"/>
    </row>
    <row r="179" spans="1:27" x14ac:dyDescent="0.25">
      <c r="A179" s="231">
        <v>0.85</v>
      </c>
      <c r="D179" s="223">
        <f>rigidezza!Y35</f>
        <v>15.245391426669757</v>
      </c>
      <c r="F179" s="223">
        <f>rigidezza!Z35</f>
        <v>15.245391426669757</v>
      </c>
      <c r="J179" s="8"/>
      <c r="K179" s="220"/>
      <c r="L179" s="145"/>
      <c r="M179" s="145"/>
      <c r="N179" s="145"/>
    </row>
    <row r="180" spans="1:27" x14ac:dyDescent="0.25">
      <c r="A180" s="231"/>
      <c r="J180" s="8"/>
      <c r="K180" s="220"/>
      <c r="L180" s="145"/>
      <c r="M180" s="145"/>
      <c r="N180" s="145"/>
    </row>
    <row r="181" spans="1:27" x14ac:dyDescent="0.25">
      <c r="A181" s="231">
        <v>5.8</v>
      </c>
      <c r="F181" s="221">
        <f>rigidezza!Z36</f>
        <v>12.079920028568953</v>
      </c>
      <c r="J181" s="8"/>
      <c r="K181" s="220"/>
      <c r="L181" s="145"/>
      <c r="M181" s="145"/>
      <c r="N181" s="145"/>
    </row>
    <row r="182" spans="1:27" x14ac:dyDescent="0.25">
      <c r="A182" s="231">
        <v>6</v>
      </c>
      <c r="B182" s="230">
        <f>rigidezza!X36</f>
        <v>16.497786663627085</v>
      </c>
      <c r="D182" s="223">
        <f>rigidezza!Y36</f>
        <v>26.419045885996468</v>
      </c>
      <c r="H182" s="223">
        <f>rigidezza!AA36</f>
        <v>26.419045885996468</v>
      </c>
      <c r="J182" s="8"/>
      <c r="K182" s="223">
        <f>rigidezza!AB36</f>
        <v>26.419045885996468</v>
      </c>
      <c r="L182" s="145"/>
      <c r="M182" s="145"/>
      <c r="N182" s="145"/>
    </row>
    <row r="183" spans="1:27" x14ac:dyDescent="0.25">
      <c r="A183" s="231"/>
      <c r="J183" s="8"/>
      <c r="K183" s="220"/>
      <c r="L183" s="145"/>
      <c r="M183" s="145"/>
      <c r="N183" s="145"/>
    </row>
    <row r="184" spans="1:27" x14ac:dyDescent="0.25">
      <c r="A184" s="231">
        <v>11.6</v>
      </c>
      <c r="B184" s="230">
        <f>rigidezza!X37</f>
        <v>16.497786663627085</v>
      </c>
      <c r="J184" s="8"/>
      <c r="K184" s="220"/>
      <c r="L184" s="145"/>
      <c r="M184" s="145"/>
      <c r="N184" s="145"/>
    </row>
    <row r="185" spans="1:27" x14ac:dyDescent="0.25">
      <c r="A185" s="231">
        <v>11.8</v>
      </c>
      <c r="D185" s="223">
        <f>rigidezza!Y37</f>
        <v>26.419045885996468</v>
      </c>
      <c r="F185" s="221">
        <f>rigidezza!Z37</f>
        <v>12.079920028568953</v>
      </c>
      <c r="G185" s="208"/>
      <c r="H185" s="221">
        <f>rigidezza!AA37</f>
        <v>9.0477990046686543</v>
      </c>
      <c r="I185" s="216"/>
      <c r="J185" s="221">
        <f>rigidezza!AB37</f>
        <v>9.0477990046686543</v>
      </c>
      <c r="K185" s="217"/>
      <c r="L185" s="145"/>
      <c r="M185" s="145"/>
      <c r="N185" s="145"/>
      <c r="O185">
        <f>rigidezza!AA38</f>
        <v>0</v>
      </c>
      <c r="P185">
        <f>rigidezza!AB38</f>
        <v>0</v>
      </c>
    </row>
    <row r="186" spans="1:27" x14ac:dyDescent="0.25">
      <c r="A186" s="231"/>
      <c r="F186" s="215"/>
      <c r="L186" s="145"/>
      <c r="M186" s="145"/>
      <c r="N186" s="145"/>
    </row>
    <row r="187" spans="1:27" x14ac:dyDescent="0.25">
      <c r="A187" s="231"/>
      <c r="F187" s="220"/>
      <c r="L187" s="145"/>
      <c r="M187" s="145"/>
      <c r="N187" s="145"/>
    </row>
    <row r="188" spans="1:27" x14ac:dyDescent="0.25">
      <c r="A188" s="231">
        <v>17.05</v>
      </c>
      <c r="D188" s="223">
        <f>rigidezza!Y38</f>
        <v>15.245391426669757</v>
      </c>
      <c r="E188" s="224"/>
      <c r="F188" s="221">
        <f>rigidezza!Z38</f>
        <v>9.2665132321689434</v>
      </c>
      <c r="L188" s="145"/>
      <c r="M188" s="145"/>
      <c r="N188" s="145"/>
    </row>
    <row r="189" spans="1:27" x14ac:dyDescent="0.25">
      <c r="A189" s="231">
        <v>17.25</v>
      </c>
      <c r="B189" s="229">
        <f>rigidezza!X38</f>
        <v>1.6186402485426059</v>
      </c>
      <c r="C189" s="216"/>
      <c r="D189" s="216"/>
      <c r="E189" s="216"/>
      <c r="F189" s="217"/>
      <c r="L189" s="145"/>
      <c r="M189" s="145"/>
      <c r="N189" s="145"/>
      <c r="T189" s="8"/>
      <c r="U189" s="8"/>
      <c r="V189" s="8"/>
      <c r="W189" s="8"/>
      <c r="X189" s="8"/>
      <c r="Y189" s="8"/>
      <c r="Z189" s="8"/>
      <c r="AA189" s="8"/>
    </row>
    <row r="190" spans="1:27" x14ac:dyDescent="0.25">
      <c r="A190" s="145"/>
      <c r="B190" s="145"/>
      <c r="C190" s="145"/>
      <c r="D190" s="145"/>
      <c r="E190" s="145"/>
      <c r="F190" s="145"/>
      <c r="G190" s="145"/>
      <c r="H190" s="145"/>
      <c r="I190" s="145"/>
      <c r="J190" s="145"/>
      <c r="K190" s="145"/>
      <c r="L190" s="145"/>
      <c r="M190" s="145"/>
      <c r="N190" s="145"/>
      <c r="T190" s="8"/>
      <c r="U190" s="8"/>
      <c r="V190" s="8"/>
      <c r="W190" s="8"/>
      <c r="X190" s="8"/>
      <c r="Y190" s="8"/>
      <c r="Z190" s="8"/>
      <c r="AA190" s="8"/>
    </row>
    <row r="191" spans="1:27" x14ac:dyDescent="0.25">
      <c r="A191" s="145" t="s">
        <v>17</v>
      </c>
      <c r="B191" s="145">
        <f>SUM(B178:B189)</f>
        <v>36.232853824339379</v>
      </c>
      <c r="C191" s="145"/>
      <c r="D191" s="145">
        <f>SUM(D178:D189)</f>
        <v>83.328874625332446</v>
      </c>
      <c r="E191" s="145"/>
      <c r="F191" s="145">
        <f>SUM(F178:F189)</f>
        <v>48.671744715976615</v>
      </c>
      <c r="G191" s="145"/>
      <c r="H191" s="145">
        <f>SUM(H178:H189)</f>
        <v>44.514643895333776</v>
      </c>
      <c r="I191" s="145"/>
      <c r="J191" s="145">
        <f>SUM(J178:J189)</f>
        <v>18.095598009337309</v>
      </c>
      <c r="K191" s="145">
        <f>SUM(K178:K189)</f>
        <v>26.419045885996468</v>
      </c>
      <c r="L191" s="145"/>
      <c r="M191" s="145">
        <f>SUM(B191:K191)</f>
        <v>257.26276095631601</v>
      </c>
      <c r="N191" s="145"/>
      <c r="O191" s="225" t="s">
        <v>257</v>
      </c>
      <c r="P191" s="232">
        <f>M192/M191</f>
        <v>12.322289485217016</v>
      </c>
      <c r="T191" s="8"/>
      <c r="U191" s="8"/>
      <c r="V191" s="8"/>
      <c r="W191" s="8"/>
      <c r="X191" s="8"/>
      <c r="Y191" s="8"/>
      <c r="Z191" s="8"/>
      <c r="AA191" s="8"/>
    </row>
    <row r="192" spans="1:27" x14ac:dyDescent="0.25">
      <c r="A192" t="s">
        <v>258</v>
      </c>
      <c r="B192" s="145">
        <f>B191*B177</f>
        <v>77.900635722329667</v>
      </c>
      <c r="C192" s="145"/>
      <c r="D192" s="145">
        <f>D191*D177</f>
        <v>641.6323346150599</v>
      </c>
      <c r="E192" s="145"/>
      <c r="F192" s="145">
        <f>F191*F177</f>
        <v>615.69757065710417</v>
      </c>
      <c r="G192" s="145"/>
      <c r="H192" s="145">
        <f>H191*H177</f>
        <v>803.4893223107747</v>
      </c>
      <c r="I192" s="145"/>
      <c r="J192" s="145">
        <f>J191*J177</f>
        <v>417.10353411522499</v>
      </c>
      <c r="K192" s="145">
        <f>K191*K177</f>
        <v>614.24281684941786</v>
      </c>
      <c r="L192" s="145"/>
      <c r="M192" s="145">
        <f>SUM(B192:K192)</f>
        <v>3170.0662142699116</v>
      </c>
      <c r="T192" s="8"/>
      <c r="U192" s="8"/>
      <c r="V192" s="8"/>
      <c r="W192" s="8"/>
      <c r="X192" s="8"/>
      <c r="Y192" s="8"/>
      <c r="Z192" s="8"/>
      <c r="AA192" s="8"/>
    </row>
    <row r="193" spans="1:27" x14ac:dyDescent="0.25">
      <c r="T193" s="8"/>
      <c r="U193" s="8"/>
      <c r="V193" s="8"/>
      <c r="W193" s="8"/>
      <c r="X193" s="8"/>
      <c r="Y193" s="8"/>
      <c r="Z193" s="8"/>
      <c r="AA193" s="8"/>
    </row>
    <row r="194" spans="1:27" ht="15.75" thickBot="1" x14ac:dyDescent="0.3">
      <c r="T194" s="8"/>
      <c r="U194" s="8"/>
      <c r="V194" s="8"/>
      <c r="W194" s="8"/>
      <c r="X194" s="8"/>
      <c r="Y194" s="8"/>
      <c r="Z194" s="8"/>
      <c r="AA194" s="8"/>
    </row>
    <row r="195" spans="1:27" ht="15.75" thickBot="1" x14ac:dyDescent="0.3">
      <c r="B195" s="286" t="s">
        <v>264</v>
      </c>
      <c r="C195" s="280"/>
      <c r="D195" s="280"/>
      <c r="E195" s="280"/>
      <c r="F195" s="280"/>
      <c r="G195" s="280"/>
      <c r="H195" s="280"/>
      <c r="I195" s="280"/>
      <c r="J195" s="281"/>
      <c r="T195" s="8"/>
      <c r="U195" s="8"/>
      <c r="V195" s="8"/>
      <c r="W195" s="8"/>
      <c r="X195" s="8"/>
      <c r="Y195" s="8"/>
      <c r="Z195" s="8"/>
      <c r="AA195" s="8"/>
    </row>
    <row r="196" spans="1:27" x14ac:dyDescent="0.25">
      <c r="T196" s="299"/>
      <c r="U196" s="299"/>
      <c r="V196" s="299"/>
      <c r="W196" s="299"/>
      <c r="X196" s="299"/>
      <c r="Y196" s="8"/>
      <c r="Z196" s="8"/>
      <c r="AA196" s="8"/>
    </row>
    <row r="197" spans="1:27" x14ac:dyDescent="0.25">
      <c r="T197" s="8"/>
      <c r="U197" s="8"/>
      <c r="V197" s="8"/>
      <c r="W197" s="8"/>
      <c r="X197" s="8"/>
      <c r="Y197" s="8"/>
      <c r="Z197" s="8"/>
      <c r="AA197" s="8"/>
    </row>
    <row r="198" spans="1:27" x14ac:dyDescent="0.25">
      <c r="L198" t="s">
        <v>17</v>
      </c>
      <c r="M198" t="s">
        <v>246</v>
      </c>
      <c r="N198" t="s">
        <v>247</v>
      </c>
      <c r="W198" s="8"/>
      <c r="X198" s="8"/>
      <c r="Y198" s="8"/>
      <c r="Z198" s="8"/>
      <c r="AA198" s="8"/>
    </row>
    <row r="199" spans="1:27" x14ac:dyDescent="0.25">
      <c r="A199" s="145"/>
      <c r="B199" s="227">
        <v>2.15</v>
      </c>
      <c r="C199" s="227"/>
      <c r="D199" s="227">
        <v>7.7</v>
      </c>
      <c r="E199" s="227"/>
      <c r="F199" s="227">
        <v>12.65</v>
      </c>
      <c r="G199" s="227"/>
      <c r="H199" s="227">
        <v>18.05</v>
      </c>
      <c r="I199" s="227"/>
      <c r="J199" s="227">
        <v>23.05</v>
      </c>
      <c r="K199" s="227">
        <v>23.25</v>
      </c>
      <c r="L199" s="145"/>
      <c r="M199" s="145"/>
      <c r="N199" s="145"/>
      <c r="W199" s="8"/>
      <c r="X199" s="8"/>
      <c r="Y199" s="8"/>
      <c r="Z199" s="8"/>
      <c r="AA199" s="8"/>
    </row>
    <row r="200" spans="1:27" x14ac:dyDescent="0.25">
      <c r="A200" s="231">
        <v>0.65</v>
      </c>
      <c r="B200" s="229">
        <f>rigidezza!X5</f>
        <v>27.687210523694493</v>
      </c>
      <c r="H200" s="228">
        <f>rigidezza!AA5</f>
        <v>86.002908803345989</v>
      </c>
      <c r="J200" s="228">
        <f>rigidezza!AB5</f>
        <v>47.829608363124017</v>
      </c>
      <c r="K200" s="220"/>
      <c r="L200" s="145">
        <f>SUM(B200:J200)</f>
        <v>161.5197276901645</v>
      </c>
      <c r="M200" s="145">
        <f>L200*A200</f>
        <v>104.98782299860693</v>
      </c>
      <c r="N200" s="145"/>
      <c r="Y200" s="8"/>
      <c r="Z200" s="8"/>
      <c r="AA200" s="8"/>
    </row>
    <row r="201" spans="1:27" x14ac:dyDescent="0.25">
      <c r="A201" s="231">
        <v>0.85</v>
      </c>
      <c r="D201" s="223">
        <f>rigidezza!Y5</f>
        <v>49.832407592299866</v>
      </c>
      <c r="F201" s="223">
        <f>rigidezza!Z5</f>
        <v>49.832407592299866</v>
      </c>
      <c r="J201" s="8"/>
      <c r="K201" s="220"/>
      <c r="L201" s="145">
        <f>SUM(B201:J201)</f>
        <v>99.664815184599732</v>
      </c>
      <c r="M201" s="145">
        <f>L201*A201</f>
        <v>84.715092906909774</v>
      </c>
      <c r="N201" s="145"/>
      <c r="Y201" s="8"/>
      <c r="Z201" s="8"/>
      <c r="AA201" s="8"/>
    </row>
    <row r="202" spans="1:27" x14ac:dyDescent="0.25">
      <c r="A202" s="231"/>
      <c r="J202" s="8"/>
      <c r="K202" s="220"/>
      <c r="L202" s="145"/>
      <c r="M202" s="145"/>
      <c r="N202" s="145"/>
      <c r="Y202" s="8"/>
      <c r="Z202" s="8"/>
      <c r="AA202" s="8"/>
    </row>
    <row r="203" spans="1:27" x14ac:dyDescent="0.25">
      <c r="A203" s="231">
        <v>5.8</v>
      </c>
      <c r="F203" s="221">
        <f>rigidezza!Z6</f>
        <v>10.621866836601761</v>
      </c>
      <c r="J203" s="8"/>
      <c r="K203" s="220"/>
      <c r="L203" s="145">
        <f>SUM(B203:J203)</f>
        <v>10.621866836601761</v>
      </c>
      <c r="M203" s="145">
        <f>L203*A203</f>
        <v>61.606827652290214</v>
      </c>
      <c r="N203" s="145"/>
      <c r="Y203" s="8"/>
      <c r="Z203" s="8"/>
      <c r="AA203" s="8"/>
    </row>
    <row r="204" spans="1:27" x14ac:dyDescent="0.25">
      <c r="A204" s="231">
        <v>6</v>
      </c>
      <c r="B204" s="230">
        <f>rigidezza!X6</f>
        <v>17.847267997137852</v>
      </c>
      <c r="D204" s="223">
        <f>rigidezza!Y6</f>
        <v>9.594423119604242</v>
      </c>
      <c r="H204" s="223">
        <f>rigidezza!AA6</f>
        <v>9.8096707961844594</v>
      </c>
      <c r="J204" s="8"/>
      <c r="K204" s="223">
        <f>rigidezza!AB6</f>
        <v>3.7658584259717971</v>
      </c>
      <c r="L204" s="145">
        <f>SUM(B204:K204)</f>
        <v>41.017220338898355</v>
      </c>
      <c r="M204" s="145">
        <f>L204*A204</f>
        <v>246.10332203339013</v>
      </c>
      <c r="N204" s="145"/>
      <c r="Y204" s="8"/>
      <c r="Z204" s="8"/>
      <c r="AA204" s="8"/>
    </row>
    <row r="205" spans="1:27" x14ac:dyDescent="0.25">
      <c r="A205" s="231"/>
      <c r="J205" s="8"/>
      <c r="K205" s="220"/>
      <c r="L205" s="145"/>
      <c r="M205" s="145"/>
      <c r="N205" s="145"/>
      <c r="Y205" s="8"/>
      <c r="Z205" s="8"/>
      <c r="AA205" s="8"/>
    </row>
    <row r="206" spans="1:27" x14ac:dyDescent="0.25">
      <c r="A206" s="231">
        <v>11.6</v>
      </c>
      <c r="B206" s="230">
        <f>rigidezza!X7</f>
        <v>17.847267997137852</v>
      </c>
      <c r="J206" s="8"/>
      <c r="K206" s="220"/>
      <c r="L206" s="145">
        <f>SUM(B206:J206)</f>
        <v>17.847267997137852</v>
      </c>
      <c r="M206" s="145">
        <f>L206*A206</f>
        <v>207.02830876679909</v>
      </c>
      <c r="N206" s="145"/>
      <c r="Y206" s="8"/>
      <c r="Z206" s="8"/>
      <c r="AA206" s="8"/>
    </row>
    <row r="207" spans="1:27" x14ac:dyDescent="0.25">
      <c r="A207" s="231">
        <v>11.8</v>
      </c>
      <c r="D207" s="223">
        <f>rigidezza!Y7</f>
        <v>6.4275054207323725</v>
      </c>
      <c r="F207" s="221">
        <f>rigidezza!Z7</f>
        <v>6.1696907027828169</v>
      </c>
      <c r="G207" s="208"/>
      <c r="H207" s="221">
        <f>rigidezza!AA7</f>
        <v>86.002908803345989</v>
      </c>
      <c r="I207" s="216"/>
      <c r="J207" s="221">
        <f>rigidezza!AB7</f>
        <v>47.829608363124017</v>
      </c>
      <c r="K207" s="217"/>
      <c r="L207" s="145">
        <f>SUM(B207:J207)</f>
        <v>146.42971328998519</v>
      </c>
      <c r="M207" s="145">
        <f>L207*A207</f>
        <v>1727.8706168218253</v>
      </c>
      <c r="N207" s="145"/>
      <c r="W207" s="8"/>
      <c r="X207" s="8"/>
      <c r="Y207" s="8"/>
      <c r="Z207" s="8"/>
      <c r="AA207" s="8"/>
    </row>
    <row r="208" spans="1:27" x14ac:dyDescent="0.25">
      <c r="A208" s="231"/>
      <c r="F208" s="215"/>
      <c r="L208" s="145"/>
      <c r="M208" s="145"/>
      <c r="N208" s="145"/>
      <c r="W208" s="8"/>
      <c r="X208" s="8"/>
      <c r="Y208" s="8"/>
      <c r="Z208" s="8"/>
      <c r="AA208" s="8"/>
    </row>
    <row r="209" spans="1:27" x14ac:dyDescent="0.25">
      <c r="A209" s="231"/>
      <c r="F209" s="220"/>
      <c r="L209" s="145"/>
      <c r="M209" s="145"/>
      <c r="N209" s="145"/>
      <c r="W209" s="8"/>
      <c r="X209" s="8"/>
      <c r="Y209" s="8"/>
      <c r="Z209" s="8"/>
      <c r="AA209" s="8"/>
    </row>
    <row r="210" spans="1:27" x14ac:dyDescent="0.25">
      <c r="A210" s="231">
        <v>17.05</v>
      </c>
      <c r="D210" s="223">
        <f>rigidezza!Y8</f>
        <v>6.4275054207323725</v>
      </c>
      <c r="E210" s="224"/>
      <c r="F210" s="221">
        <f>rigidezza!Z8</f>
        <v>47.829608363124017</v>
      </c>
      <c r="L210" s="145">
        <f>SUM(B210:J210)</f>
        <v>54.25711378385639</v>
      </c>
      <c r="M210" s="145">
        <f>L210*A210</f>
        <v>925.08379001475146</v>
      </c>
      <c r="N210" s="145"/>
      <c r="W210" s="8"/>
      <c r="X210" s="8"/>
      <c r="Y210" s="8"/>
      <c r="Z210" s="8"/>
      <c r="AA210" s="8"/>
    </row>
    <row r="211" spans="1:27" x14ac:dyDescent="0.25">
      <c r="A211" s="231">
        <v>17.25</v>
      </c>
      <c r="B211" s="229">
        <f>rigidezza!X8</f>
        <v>27.687210523694493</v>
      </c>
      <c r="C211" s="216"/>
      <c r="D211" s="216"/>
      <c r="E211" s="216"/>
      <c r="F211" s="217"/>
      <c r="L211" s="145">
        <f>SUM(B211:J211)</f>
        <v>27.687210523694493</v>
      </c>
      <c r="M211" s="145">
        <f>L211*A211</f>
        <v>477.60438153373002</v>
      </c>
      <c r="N211" s="145"/>
      <c r="T211" s="8"/>
      <c r="U211" s="8"/>
      <c r="V211" s="8"/>
      <c r="W211" s="8"/>
      <c r="X211" s="8"/>
      <c r="Y211" s="8"/>
      <c r="Z211" s="8"/>
      <c r="AA211" s="8"/>
    </row>
    <row r="212" spans="1:27" x14ac:dyDescent="0.25">
      <c r="A212" s="145"/>
      <c r="B212" s="145"/>
      <c r="C212" s="145"/>
      <c r="D212" s="145"/>
      <c r="E212" s="145"/>
      <c r="F212" s="145"/>
      <c r="G212" s="145"/>
      <c r="H212" s="145"/>
      <c r="I212" s="145"/>
      <c r="J212" s="145"/>
      <c r="K212" s="145"/>
      <c r="L212" s="145"/>
      <c r="M212" s="145"/>
      <c r="N212" s="145"/>
      <c r="T212" s="8"/>
      <c r="U212" s="8"/>
      <c r="V212" s="8"/>
      <c r="W212" s="8"/>
      <c r="X212" s="8"/>
      <c r="Y212" s="8"/>
      <c r="Z212" s="8"/>
      <c r="AA212" s="8"/>
    </row>
    <row r="213" spans="1:27" x14ac:dyDescent="0.25">
      <c r="A213" s="145"/>
      <c r="B213" s="145"/>
      <c r="C213" s="145"/>
      <c r="D213" s="145"/>
      <c r="E213" s="145"/>
      <c r="F213" s="145"/>
      <c r="G213" s="145"/>
      <c r="H213" s="145"/>
      <c r="I213" s="145"/>
      <c r="J213" s="145"/>
      <c r="K213" s="145"/>
      <c r="L213" s="145">
        <f>SUM(L200:L211)</f>
        <v>559.04493564493839</v>
      </c>
      <c r="M213" s="145">
        <f>SUM(M200:M211)</f>
        <v>3835.0001627283027</v>
      </c>
      <c r="N213" s="145"/>
      <c r="O213" s="223" t="s">
        <v>256</v>
      </c>
      <c r="P213" s="223">
        <f>M213/L213</f>
        <v>6.8599139679247445</v>
      </c>
      <c r="T213" s="8"/>
      <c r="U213" s="8"/>
      <c r="V213" s="8"/>
      <c r="W213" s="8"/>
      <c r="X213" s="8"/>
      <c r="Y213" s="8"/>
      <c r="Z213" s="8"/>
      <c r="AA213" s="8"/>
    </row>
    <row r="214" spans="1:27" x14ac:dyDescent="0.25">
      <c r="B214" s="145"/>
      <c r="C214" s="145"/>
      <c r="D214" s="145"/>
      <c r="E214" s="145"/>
      <c r="F214" s="145"/>
      <c r="G214" s="145"/>
      <c r="H214" s="145"/>
      <c r="I214" s="145"/>
      <c r="J214" s="145"/>
      <c r="K214" s="145"/>
      <c r="L214" s="145"/>
      <c r="M214" s="145"/>
      <c r="T214" s="8"/>
      <c r="U214" s="8"/>
      <c r="V214" s="8"/>
      <c r="W214" s="8"/>
      <c r="X214" s="8"/>
      <c r="Y214" s="8"/>
      <c r="Z214" s="8"/>
      <c r="AA214" s="8"/>
    </row>
    <row r="215" spans="1:27" x14ac:dyDescent="0.25">
      <c r="A215" s="145"/>
      <c r="B215" s="227">
        <v>2.15</v>
      </c>
      <c r="C215" s="227"/>
      <c r="D215" s="227">
        <v>7.7</v>
      </c>
      <c r="E215" s="227"/>
      <c r="F215" s="227">
        <v>12.65</v>
      </c>
      <c r="G215" s="227"/>
      <c r="H215" s="227">
        <v>18.05</v>
      </c>
      <c r="I215" s="227"/>
      <c r="J215" s="227">
        <v>23.05</v>
      </c>
      <c r="K215" s="227">
        <v>23.25</v>
      </c>
      <c r="L215" s="145"/>
      <c r="M215" s="145"/>
      <c r="N215" s="145"/>
      <c r="T215" s="299"/>
      <c r="U215" s="299"/>
      <c r="V215" s="299"/>
      <c r="W215" s="299"/>
      <c r="X215" s="299"/>
      <c r="Y215" s="8"/>
      <c r="Z215" s="8"/>
      <c r="AA215" s="8"/>
    </row>
    <row r="216" spans="1:27" x14ac:dyDescent="0.25">
      <c r="A216" s="231">
        <v>0.65</v>
      </c>
      <c r="B216" s="221">
        <f>rigidezza!X12</f>
        <v>5.2630011616209194</v>
      </c>
      <c r="H216" s="228">
        <f>rigidezza!AA12</f>
        <v>31.757573734756122</v>
      </c>
      <c r="J216" s="228">
        <f>rigidezza!AB12</f>
        <v>31.757573734756122</v>
      </c>
      <c r="K216" s="220"/>
      <c r="L216" s="145"/>
      <c r="M216" s="145"/>
      <c r="N216" s="145"/>
      <c r="T216" s="8"/>
      <c r="U216" s="8"/>
      <c r="V216" s="8"/>
      <c r="W216" s="8"/>
      <c r="X216" s="8"/>
      <c r="Y216" s="8"/>
      <c r="Z216" s="8"/>
      <c r="AA216" s="8"/>
    </row>
    <row r="217" spans="1:27" x14ac:dyDescent="0.25">
      <c r="A217" s="231">
        <v>0.85</v>
      </c>
      <c r="D217" s="223">
        <f>rigidezza!Y12</f>
        <v>45.829765113892535</v>
      </c>
      <c r="F217" s="223">
        <f>rigidezza!Z12</f>
        <v>45.829765113892535</v>
      </c>
      <c r="J217" s="8"/>
      <c r="K217" s="220"/>
      <c r="L217" s="145"/>
      <c r="M217" s="145"/>
      <c r="N217" s="145"/>
      <c r="T217" s="8"/>
      <c r="U217" s="8"/>
      <c r="V217" s="8"/>
      <c r="W217" s="8"/>
      <c r="X217" s="8"/>
      <c r="Y217" s="8"/>
      <c r="Z217" s="8"/>
      <c r="AA217" s="8"/>
    </row>
    <row r="218" spans="1:27" x14ac:dyDescent="0.25">
      <c r="A218" s="231"/>
      <c r="J218" s="8"/>
      <c r="K218" s="220"/>
      <c r="L218" s="145"/>
      <c r="M218" s="145"/>
      <c r="N218" s="145"/>
      <c r="T218" s="8"/>
      <c r="U218" s="8"/>
      <c r="V218" s="8"/>
      <c r="W218" s="8"/>
      <c r="X218" s="8"/>
      <c r="Y218" s="8"/>
      <c r="Z218" s="8"/>
      <c r="AA218" s="8"/>
    </row>
    <row r="219" spans="1:27" x14ac:dyDescent="0.25">
      <c r="A219" s="231">
        <v>5.8</v>
      </c>
      <c r="F219" s="221">
        <f>rigidezza!Z13</f>
        <v>2.7482106578849206</v>
      </c>
      <c r="J219" s="8"/>
      <c r="K219" s="220"/>
      <c r="L219" s="145"/>
      <c r="M219" s="145"/>
      <c r="N219" s="145"/>
      <c r="T219" s="8"/>
      <c r="U219" s="8"/>
      <c r="V219" s="8"/>
      <c r="W219" s="8"/>
      <c r="X219" s="8"/>
      <c r="Y219" s="8"/>
      <c r="Z219" s="8"/>
      <c r="AA219" s="8"/>
    </row>
    <row r="220" spans="1:27" x14ac:dyDescent="0.25">
      <c r="A220" s="231">
        <v>6</v>
      </c>
      <c r="B220" s="230">
        <f>rigidezza!X13</f>
        <v>31.61061861382672</v>
      </c>
      <c r="D220" s="223">
        <f>rigidezza!Y13</f>
        <v>17.754569413751259</v>
      </c>
      <c r="H220" s="223">
        <f>rigidezza!AA13</f>
        <v>12.872830000717872</v>
      </c>
      <c r="J220" s="8"/>
      <c r="K220" s="223">
        <f>rigidezza!AB13</f>
        <v>12.872830000717872</v>
      </c>
      <c r="L220" s="145"/>
      <c r="M220" s="145"/>
      <c r="N220" s="145"/>
      <c r="T220" s="8"/>
      <c r="U220" s="8"/>
      <c r="V220" s="8"/>
      <c r="W220" s="226"/>
      <c r="X220" s="226"/>
      <c r="Y220" s="8"/>
      <c r="Z220" s="8"/>
      <c r="AA220" s="8"/>
    </row>
    <row r="221" spans="1:27" x14ac:dyDescent="0.25">
      <c r="A221" s="231"/>
      <c r="J221" s="8"/>
      <c r="K221" s="220"/>
      <c r="L221" s="145"/>
      <c r="M221" s="145"/>
      <c r="N221" s="145"/>
      <c r="T221" s="8"/>
      <c r="U221" s="8"/>
      <c r="V221" s="8"/>
    </row>
    <row r="222" spans="1:27" x14ac:dyDescent="0.25">
      <c r="A222" s="231">
        <v>11.6</v>
      </c>
      <c r="B222" s="230">
        <f>rigidezza!X14</f>
        <v>31.61061861382672</v>
      </c>
      <c r="J222" s="8"/>
      <c r="K222" s="220"/>
      <c r="L222" s="145"/>
      <c r="M222" s="145"/>
      <c r="N222" s="145"/>
      <c r="T222" s="8"/>
      <c r="U222" s="8"/>
      <c r="V222" s="8"/>
    </row>
    <row r="223" spans="1:27" x14ac:dyDescent="0.25">
      <c r="A223" s="231">
        <v>11.8</v>
      </c>
      <c r="D223" s="223">
        <f>rigidezza!Y14</f>
        <v>21.526800620176981</v>
      </c>
      <c r="F223" s="221">
        <f>rigidezza!Z14</f>
        <v>2.7482106578849206</v>
      </c>
      <c r="G223" s="208"/>
      <c r="H223" s="221">
        <f>rigidezza!AA14</f>
        <v>31.757573734756122</v>
      </c>
      <c r="I223" s="216"/>
      <c r="J223" s="221">
        <f>rigidezza!AB14</f>
        <v>31.757573734756122</v>
      </c>
      <c r="K223" s="217"/>
      <c r="L223" s="145"/>
      <c r="M223" s="145"/>
      <c r="N223" s="145"/>
      <c r="T223" s="8"/>
      <c r="U223" s="8"/>
      <c r="V223" s="8"/>
    </row>
    <row r="224" spans="1:27" x14ac:dyDescent="0.25">
      <c r="A224" s="231"/>
      <c r="F224" s="215"/>
      <c r="L224" s="145"/>
      <c r="M224" s="145"/>
      <c r="N224" s="145"/>
      <c r="T224" s="8"/>
      <c r="U224" s="8"/>
      <c r="V224" s="8"/>
    </row>
    <row r="225" spans="1:22" x14ac:dyDescent="0.25">
      <c r="A225" s="231"/>
      <c r="F225" s="220"/>
      <c r="L225" s="145"/>
      <c r="M225" s="145"/>
      <c r="N225" s="145"/>
      <c r="T225" s="8"/>
      <c r="U225" s="8"/>
      <c r="V225" s="8"/>
    </row>
    <row r="226" spans="1:22" x14ac:dyDescent="0.25">
      <c r="A226" s="231">
        <v>17.05</v>
      </c>
      <c r="D226" s="223">
        <f>rigidezza!Y15</f>
        <v>12.203730834469331</v>
      </c>
      <c r="E226" s="224"/>
      <c r="F226" s="221">
        <f>rigidezza!Z15</f>
        <v>31.757573734756122</v>
      </c>
      <c r="L226" s="145"/>
      <c r="M226" s="145"/>
      <c r="N226" s="145"/>
      <c r="T226" s="8"/>
      <c r="U226" s="8"/>
      <c r="V226" s="8"/>
    </row>
    <row r="227" spans="1:22" x14ac:dyDescent="0.25">
      <c r="A227" s="231">
        <v>17.25</v>
      </c>
      <c r="B227" s="229">
        <f>rigidezza!X15</f>
        <v>5.2630011616209194</v>
      </c>
      <c r="C227" s="216"/>
      <c r="D227" s="216"/>
      <c r="E227" s="216"/>
      <c r="F227" s="217"/>
      <c r="L227" s="145"/>
      <c r="M227" s="145"/>
      <c r="N227" s="145"/>
    </row>
    <row r="228" spans="1:22" x14ac:dyDescent="0.25">
      <c r="A228" s="145"/>
      <c r="B228" s="145"/>
      <c r="C228" s="145"/>
      <c r="D228" s="145"/>
      <c r="E228" s="145"/>
      <c r="F228" s="145"/>
      <c r="G228" s="145"/>
      <c r="H228" s="145"/>
      <c r="I228" s="145"/>
      <c r="J228" s="145"/>
      <c r="K228" s="145"/>
      <c r="L228" s="145"/>
      <c r="M228" s="145"/>
      <c r="N228" s="145"/>
    </row>
    <row r="229" spans="1:22" x14ac:dyDescent="0.25">
      <c r="A229" s="145" t="s">
        <v>17</v>
      </c>
      <c r="B229" s="145">
        <f>SUM(B216:B227)</f>
        <v>73.747239550895273</v>
      </c>
      <c r="C229" s="145"/>
      <c r="D229" s="145">
        <f>SUM(D216:D227)</f>
        <v>97.314865982290101</v>
      </c>
      <c r="E229" s="145"/>
      <c r="F229" s="145">
        <f>SUM(F216:F227)</f>
        <v>83.083760164418493</v>
      </c>
      <c r="G229" s="145"/>
      <c r="H229" s="145">
        <f>SUM(H216:H227)</f>
        <v>76.387977470230112</v>
      </c>
      <c r="I229" s="145"/>
      <c r="J229" s="145">
        <f>SUM(J216:J227)</f>
        <v>63.515147469512243</v>
      </c>
      <c r="K229" s="145">
        <f>SUM(K216:K227)</f>
        <v>12.872830000717872</v>
      </c>
      <c r="L229" s="145"/>
      <c r="M229" s="145">
        <f>SUM(B229:K229)</f>
        <v>406.92182063806416</v>
      </c>
      <c r="N229" s="145"/>
      <c r="O229" s="225" t="s">
        <v>257</v>
      </c>
      <c r="P229" s="232">
        <f>M230/M229</f>
        <v>12.535604581749965</v>
      </c>
    </row>
    <row r="230" spans="1:22" x14ac:dyDescent="0.25">
      <c r="A230" t="s">
        <v>258</v>
      </c>
      <c r="B230" s="145">
        <f>B229*B215</f>
        <v>158.55656503442484</v>
      </c>
      <c r="C230" s="145"/>
      <c r="D230" s="145">
        <f>D229*D215</f>
        <v>749.32446806363384</v>
      </c>
      <c r="E230" s="145"/>
      <c r="F230" s="145">
        <f>F229*F215</f>
        <v>1051.0095660798941</v>
      </c>
      <c r="G230" s="145"/>
      <c r="H230" s="145">
        <f>H229*H215</f>
        <v>1378.8029933376536</v>
      </c>
      <c r="I230" s="145"/>
      <c r="J230" s="145">
        <f>J229*J215</f>
        <v>1464.0241491722572</v>
      </c>
      <c r="K230" s="145">
        <f>K229*K215</f>
        <v>299.29329751669053</v>
      </c>
      <c r="L230" s="145"/>
      <c r="M230" s="145">
        <f>SUM(B230:K230)</f>
        <v>5101.0110392045544</v>
      </c>
    </row>
  </sheetData>
  <mergeCells count="10">
    <mergeCell ref="AA13:AB13"/>
    <mergeCell ref="T196:X196"/>
    <mergeCell ref="T215:X215"/>
    <mergeCell ref="C1:K1"/>
    <mergeCell ref="B42:J42"/>
    <mergeCell ref="B81:J81"/>
    <mergeCell ref="B119:J119"/>
    <mergeCell ref="B157:J157"/>
    <mergeCell ref="B195:J195"/>
    <mergeCell ref="W13:X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>
      <selection activeCell="K16" sqref="K16"/>
    </sheetView>
  </sheetViews>
  <sheetFormatPr defaultRowHeight="15" x14ac:dyDescent="0.25"/>
  <cols>
    <col min="1" max="1" width="23.28515625" customWidth="1"/>
    <col min="2" max="2" width="12.5703125" bestFit="1" customWidth="1"/>
    <col min="4" max="5" width="9.5703125" bestFit="1" customWidth="1"/>
    <col min="6" max="6" width="9.28515625" bestFit="1" customWidth="1"/>
  </cols>
  <sheetData>
    <row r="1" spans="1:6" x14ac:dyDescent="0.25">
      <c r="A1" s="310" t="s">
        <v>228</v>
      </c>
      <c r="B1" s="310"/>
      <c r="C1" s="310"/>
      <c r="D1" s="310"/>
      <c r="E1" s="310"/>
      <c r="F1" s="310"/>
    </row>
    <row r="4" spans="1:6" x14ac:dyDescent="0.25">
      <c r="A4" s="110" t="s">
        <v>229</v>
      </c>
      <c r="B4" s="110" t="s">
        <v>275</v>
      </c>
      <c r="C4" s="110" t="s">
        <v>276</v>
      </c>
      <c r="D4" s="110" t="s">
        <v>279</v>
      </c>
      <c r="E4" s="110" t="s">
        <v>277</v>
      </c>
      <c r="F4" s="110" t="s">
        <v>278</v>
      </c>
    </row>
    <row r="5" spans="1:6" x14ac:dyDescent="0.25">
      <c r="A5" s="16" t="s">
        <v>123</v>
      </c>
      <c r="B5" s="42">
        <f>'caratteristiche della sollecita'!D26</f>
        <v>351.6403233952185</v>
      </c>
      <c r="C5" s="42">
        <f>'caratteristiche della sollecita'!E26</f>
        <v>351.6403233952185</v>
      </c>
      <c r="D5" s="42">
        <f>rigidezza!E147</f>
        <v>559.04493564493828</v>
      </c>
      <c r="E5" s="42">
        <f t="shared" ref="E5:E10" si="0">C5/D5</f>
        <v>0.62900189407771145</v>
      </c>
      <c r="F5" s="42">
        <f>F6+E5</f>
        <v>16.878172043179465</v>
      </c>
    </row>
    <row r="6" spans="1:6" x14ac:dyDescent="0.25">
      <c r="A6" s="16">
        <v>4</v>
      </c>
      <c r="B6" s="42">
        <f>'caratteristiche della sollecita'!D27</f>
        <v>363.04924677975157</v>
      </c>
      <c r="C6" s="42">
        <f>'caratteristiche della sollecita'!E27</f>
        <v>714.68957017497007</v>
      </c>
      <c r="D6" s="42">
        <f>rigidezza!E148</f>
        <v>280.11504548777816</v>
      </c>
      <c r="E6" s="42">
        <f t="shared" si="0"/>
        <v>2.5514144337746867</v>
      </c>
      <c r="F6" s="42">
        <f>F7+E6</f>
        <v>16.249170149101754</v>
      </c>
    </row>
    <row r="7" spans="1:6" x14ac:dyDescent="0.25">
      <c r="A7" s="16">
        <v>3</v>
      </c>
      <c r="B7" s="42">
        <f>'caratteristiche della sollecita'!D28</f>
        <v>292.63969588913312</v>
      </c>
      <c r="C7" s="42">
        <f>'caratteristiche della sollecita'!E28</f>
        <v>1007.3292660641032</v>
      </c>
      <c r="D7" s="42">
        <f>rigidezza!E149</f>
        <v>323.56973572373698</v>
      </c>
      <c r="E7" s="42">
        <f t="shared" si="0"/>
        <v>3.1131751670501049</v>
      </c>
      <c r="F7" s="42">
        <f>F8+E7</f>
        <v>13.697755715327068</v>
      </c>
    </row>
    <row r="8" spans="1:6" x14ac:dyDescent="0.25">
      <c r="A8" s="16">
        <v>2</v>
      </c>
      <c r="B8" s="42">
        <f>'caratteristiche della sollecita'!D29</f>
        <v>222.23014499851465</v>
      </c>
      <c r="C8" s="42">
        <f>'caratteristiche della sollecita'!E29</f>
        <v>1229.5594110626178</v>
      </c>
      <c r="D8" s="42">
        <f>rigidezza!E150</f>
        <v>371.20913974563905</v>
      </c>
      <c r="E8" s="42">
        <f t="shared" si="0"/>
        <v>3.3123090985990804</v>
      </c>
      <c r="F8" s="42">
        <f>F9+E8</f>
        <v>10.584580548276962</v>
      </c>
    </row>
    <row r="9" spans="1:6" x14ac:dyDescent="0.25">
      <c r="A9" s="16">
        <v>1</v>
      </c>
      <c r="B9" s="42">
        <f>'caratteristiche della sollecita'!D30</f>
        <v>151.82059410789614</v>
      </c>
      <c r="C9" s="42">
        <f>'caratteristiche della sollecita'!E30</f>
        <v>1381.3800051705139</v>
      </c>
      <c r="D9" s="42">
        <f>rigidezza!E151</f>
        <v>371.20913974563905</v>
      </c>
      <c r="E9" s="42">
        <f t="shared" si="0"/>
        <v>3.7212984737311881</v>
      </c>
      <c r="F9" s="42">
        <f>F10+E9</f>
        <v>7.2722714496778824</v>
      </c>
    </row>
    <row r="10" spans="1:6" x14ac:dyDescent="0.25">
      <c r="A10" s="16" t="s">
        <v>124</v>
      </c>
      <c r="B10" s="42">
        <f>'caratteristiche della sollecita'!D31</f>
        <v>75.365589396475443</v>
      </c>
      <c r="C10" s="42">
        <f>'caratteristiche della sollecita'!E31</f>
        <v>1456.7455945669892</v>
      </c>
      <c r="D10" s="42">
        <f>rigidezza!E152</f>
        <v>410.23843448952715</v>
      </c>
      <c r="E10" s="42">
        <f t="shared" si="0"/>
        <v>3.5509729759466944</v>
      </c>
      <c r="F10" s="42">
        <f>E10</f>
        <v>3.5509729759466944</v>
      </c>
    </row>
    <row r="13" spans="1:6" x14ac:dyDescent="0.25">
      <c r="A13" s="110" t="s">
        <v>229</v>
      </c>
      <c r="B13" s="110" t="s">
        <v>15</v>
      </c>
      <c r="C13" s="110" t="s">
        <v>230</v>
      </c>
      <c r="D13" s="110" t="s">
        <v>234</v>
      </c>
      <c r="E13" s="110" t="s">
        <v>235</v>
      </c>
      <c r="F13" s="110" t="s">
        <v>236</v>
      </c>
    </row>
    <row r="14" spans="1:6" x14ac:dyDescent="0.25">
      <c r="A14" s="198" t="s">
        <v>123</v>
      </c>
      <c r="B14" s="42">
        <f>'caratteristiche della sollecita'!F2</f>
        <v>301.76554536187564</v>
      </c>
      <c r="C14" s="42">
        <f>'caratteristiche della sollecita'!D26</f>
        <v>351.6403233952185</v>
      </c>
      <c r="D14" s="42">
        <f t="shared" ref="D14:D19" si="1">F5</f>
        <v>16.878172043179465</v>
      </c>
      <c r="E14" s="42">
        <f t="shared" ref="E14:E19" si="2">C14*D14</f>
        <v>5935.0458755837626</v>
      </c>
      <c r="F14" s="42">
        <f t="shared" ref="F14:F19" si="3">(B14*D14^2)/1000</f>
        <v>85.964763114986141</v>
      </c>
    </row>
    <row r="15" spans="1:6" x14ac:dyDescent="0.25">
      <c r="A15" s="198">
        <v>4</v>
      </c>
      <c r="B15" s="42">
        <f>'caratteristiche della sollecita'!F3</f>
        <v>362.53822629969414</v>
      </c>
      <c r="C15" s="42">
        <f>'caratteristiche della sollecita'!D27</f>
        <v>363.04924677975157</v>
      </c>
      <c r="D15" s="42">
        <f t="shared" si="1"/>
        <v>16.249170149101754</v>
      </c>
      <c r="E15" s="42">
        <f t="shared" si="2"/>
        <v>5899.2489834274156</v>
      </c>
      <c r="F15" s="42">
        <f t="shared" si="3"/>
        <v>95.722972920061707</v>
      </c>
    </row>
    <row r="16" spans="1:6" x14ac:dyDescent="0.25">
      <c r="A16" s="198">
        <v>3</v>
      </c>
      <c r="B16" s="42">
        <f>'caratteristiche della sollecita'!F4</f>
        <v>362.53822629969414</v>
      </c>
      <c r="C16" s="42">
        <f>'caratteristiche della sollecita'!D28</f>
        <v>292.63969588913312</v>
      </c>
      <c r="D16" s="42">
        <f t="shared" si="1"/>
        <v>13.697755715327068</v>
      </c>
      <c r="E16" s="42">
        <f t="shared" si="2"/>
        <v>4008.5070668969483</v>
      </c>
      <c r="F16" s="42">
        <f t="shared" si="3"/>
        <v>68.022507812048062</v>
      </c>
    </row>
    <row r="17" spans="1:6" x14ac:dyDescent="0.25">
      <c r="A17" s="198">
        <v>2</v>
      </c>
      <c r="B17" s="42">
        <f>'caratteristiche della sollecita'!F5</f>
        <v>362.53822629969414</v>
      </c>
      <c r="C17" s="42">
        <f>'caratteristiche della sollecita'!D29</f>
        <v>222.23014499851465</v>
      </c>
      <c r="D17" s="42">
        <f t="shared" si="1"/>
        <v>10.584580548276962</v>
      </c>
      <c r="E17" s="42">
        <f t="shared" si="2"/>
        <v>2352.2128699920472</v>
      </c>
      <c r="F17" s="42">
        <f t="shared" si="3"/>
        <v>40.616370321560446</v>
      </c>
    </row>
    <row r="18" spans="1:6" x14ac:dyDescent="0.25">
      <c r="A18" s="198">
        <v>1</v>
      </c>
      <c r="B18" s="42">
        <f>'caratteristiche della sollecita'!F6</f>
        <v>362.53822629969414</v>
      </c>
      <c r="C18" s="42">
        <f>'caratteristiche della sollecita'!D30</f>
        <v>151.82059410789614</v>
      </c>
      <c r="D18" s="42">
        <f t="shared" si="1"/>
        <v>7.2722714496778824</v>
      </c>
      <c r="E18" s="42">
        <f t="shared" si="2"/>
        <v>1104.0805720039873</v>
      </c>
      <c r="F18" s="42">
        <f t="shared" si="3"/>
        <v>19.173171997190199</v>
      </c>
    </row>
    <row r="19" spans="1:6" x14ac:dyDescent="0.25">
      <c r="A19" s="198" t="s">
        <v>124</v>
      </c>
      <c r="B19" s="42">
        <f>'caratteristiche della sollecita'!F7</f>
        <v>335.61671763506627</v>
      </c>
      <c r="C19" s="42">
        <f>'caratteristiche della sollecita'!D31</f>
        <v>75.365589396475443</v>
      </c>
      <c r="D19" s="42">
        <f t="shared" si="1"/>
        <v>3.5509729759466944</v>
      </c>
      <c r="E19" s="42">
        <f t="shared" si="2"/>
        <v>267.62117126317901</v>
      </c>
      <c r="F19" s="42">
        <f t="shared" si="3"/>
        <v>4.231928485372622</v>
      </c>
    </row>
    <row r="20" spans="1:6" x14ac:dyDescent="0.25">
      <c r="A20" s="199" t="s">
        <v>17</v>
      </c>
      <c r="B20" s="209"/>
      <c r="C20" s="209"/>
      <c r="D20" s="209"/>
      <c r="E20" s="209">
        <f>SUM(E14:E19)</f>
        <v>19566.716539167337</v>
      </c>
      <c r="F20" s="209">
        <f>SUM(F14:F19)</f>
        <v>313.73171465121919</v>
      </c>
    </row>
    <row r="23" spans="1:6" x14ac:dyDescent="0.25">
      <c r="A23" s="201" t="s">
        <v>237</v>
      </c>
      <c r="B23" s="202">
        <f>2*PI()*(F20/E20)^0.5</f>
        <v>0.79560976190477861</v>
      </c>
      <c r="C23" s="203" t="s">
        <v>238</v>
      </c>
    </row>
    <row r="26" spans="1:6" x14ac:dyDescent="0.25">
      <c r="A26" s="310" t="s">
        <v>239</v>
      </c>
      <c r="B26" s="310"/>
      <c r="C26" s="310"/>
      <c r="D26" s="310"/>
      <c r="E26" s="310"/>
      <c r="F26" s="310"/>
    </row>
    <row r="29" spans="1:6" x14ac:dyDescent="0.25">
      <c r="A29" s="110" t="s">
        <v>229</v>
      </c>
      <c r="B29" s="110" t="s">
        <v>275</v>
      </c>
      <c r="C29" s="110" t="s">
        <v>276</v>
      </c>
      <c r="D29" s="110" t="s">
        <v>279</v>
      </c>
      <c r="E29" s="110" t="s">
        <v>277</v>
      </c>
      <c r="F29" s="110" t="s">
        <v>278</v>
      </c>
    </row>
    <row r="30" spans="1:6" x14ac:dyDescent="0.25">
      <c r="A30" s="16" t="s">
        <v>123</v>
      </c>
      <c r="B30" s="42">
        <f>'caratteristiche della sollecita'!D26</f>
        <v>351.6403233952185</v>
      </c>
      <c r="C30" s="42">
        <f>'caratteristiche della sollecita'!E26</f>
        <v>351.6403233952185</v>
      </c>
      <c r="D30" s="42">
        <f>rigidezza!F147</f>
        <v>406.9218206380641</v>
      </c>
      <c r="E30" s="42">
        <f t="shared" ref="E30:E35" si="4">C30/D30</f>
        <v>0.86414712989300313</v>
      </c>
      <c r="F30" s="42">
        <f>SUM(E30:E35)</f>
        <v>18.258818752650871</v>
      </c>
    </row>
    <row r="31" spans="1:6" x14ac:dyDescent="0.25">
      <c r="A31" s="16">
        <v>4</v>
      </c>
      <c r="B31" s="42">
        <f>'caratteristiche della sollecita'!D27</f>
        <v>363.04924677975157</v>
      </c>
      <c r="C31" s="42">
        <f>'caratteristiche della sollecita'!E27</f>
        <v>714.68957017497007</v>
      </c>
      <c r="D31" s="42">
        <f>rigidezza!F148</f>
        <v>257.26276095631596</v>
      </c>
      <c r="E31" s="42">
        <f t="shared" si="4"/>
        <v>2.7780529429065974</v>
      </c>
      <c r="F31" s="42">
        <f>F30-E30</f>
        <v>17.394671622757869</v>
      </c>
    </row>
    <row r="32" spans="1:6" x14ac:dyDescent="0.25">
      <c r="A32" s="16">
        <v>3</v>
      </c>
      <c r="B32" s="42">
        <f>'caratteristiche della sollecita'!D28</f>
        <v>292.63969588913312</v>
      </c>
      <c r="C32" s="42">
        <f>'caratteristiche della sollecita'!E28</f>
        <v>1007.3292660641032</v>
      </c>
      <c r="D32" s="191">
        <f>rigidezza!F149</f>
        <v>298.37753336301182</v>
      </c>
      <c r="E32" s="42">
        <f t="shared" si="4"/>
        <v>3.3760224997857566</v>
      </c>
      <c r="F32" s="42">
        <f>F31-E31</f>
        <v>14.616618679851271</v>
      </c>
    </row>
    <row r="33" spans="1:6" x14ac:dyDescent="0.25">
      <c r="A33" s="16">
        <v>2</v>
      </c>
      <c r="B33" s="42">
        <f>'caratteristiche della sollecita'!D29</f>
        <v>222.23014499851465</v>
      </c>
      <c r="C33" s="42">
        <f>'caratteristiche della sollecita'!E29</f>
        <v>1229.5594110626178</v>
      </c>
      <c r="D33" s="191">
        <f>rigidezza!F150</f>
        <v>344.51849631561947</v>
      </c>
      <c r="E33" s="42">
        <f t="shared" si="4"/>
        <v>3.5689213328511591</v>
      </c>
      <c r="F33" s="42">
        <f>F32-E32</f>
        <v>11.240596180065515</v>
      </c>
    </row>
    <row r="34" spans="1:6" x14ac:dyDescent="0.25">
      <c r="A34" s="16">
        <v>1</v>
      </c>
      <c r="B34" s="42">
        <f>'caratteristiche della sollecita'!D30</f>
        <v>151.82059410789614</v>
      </c>
      <c r="C34" s="42">
        <f>'caratteristiche della sollecita'!E30</f>
        <v>1381.3800051705139</v>
      </c>
      <c r="D34" s="191">
        <f>rigidezza!F151</f>
        <v>344.51849631561947</v>
      </c>
      <c r="E34" s="42">
        <f t="shared" si="4"/>
        <v>4.009596059263556</v>
      </c>
      <c r="F34" s="42">
        <f>F33-E33</f>
        <v>7.671674847214355</v>
      </c>
    </row>
    <row r="35" spans="1:6" x14ac:dyDescent="0.25">
      <c r="A35" s="16" t="s">
        <v>124</v>
      </c>
      <c r="B35" s="42">
        <f>'caratteristiche della sollecita'!D31</f>
        <v>75.365589396475443</v>
      </c>
      <c r="C35" s="42">
        <f>'caratteristiche della sollecita'!E31</f>
        <v>1456.7455945669892</v>
      </c>
      <c r="D35" s="191">
        <f>rigidezza!F152</f>
        <v>397.79198616918495</v>
      </c>
      <c r="E35" s="42">
        <f t="shared" si="4"/>
        <v>3.6620787879507977</v>
      </c>
      <c r="F35" s="42">
        <f>F34-E34</f>
        <v>3.662078787950799</v>
      </c>
    </row>
    <row r="38" spans="1:6" x14ac:dyDescent="0.25">
      <c r="A38" s="110" t="s">
        <v>229</v>
      </c>
      <c r="B38" s="110" t="s">
        <v>15</v>
      </c>
      <c r="C38" s="110" t="s">
        <v>230</v>
      </c>
      <c r="D38" s="110" t="s">
        <v>234</v>
      </c>
      <c r="E38" s="110" t="s">
        <v>235</v>
      </c>
      <c r="F38" s="110" t="s">
        <v>236</v>
      </c>
    </row>
    <row r="39" spans="1:6" x14ac:dyDescent="0.25">
      <c r="A39" s="198" t="s">
        <v>123</v>
      </c>
      <c r="B39" s="42">
        <f>'caratteristiche della sollecita'!F2</f>
        <v>301.76554536187564</v>
      </c>
      <c r="C39" s="42">
        <f>'caratteristiche della sollecita'!D26</f>
        <v>351.6403233952185</v>
      </c>
      <c r="D39" s="42">
        <f t="shared" ref="D39:D44" si="5">F30</f>
        <v>18.258818752650871</v>
      </c>
      <c r="E39" s="42">
        <f t="shared" ref="E39:E44" si="6">C39*D39</f>
        <v>6420.5369309968328</v>
      </c>
      <c r="F39" s="42">
        <f t="shared" ref="F39:F44" si="7">(B39*D39^2)/1000</f>
        <v>100.60394406367958</v>
      </c>
    </row>
    <row r="40" spans="1:6" x14ac:dyDescent="0.25">
      <c r="A40" s="198">
        <v>4</v>
      </c>
      <c r="B40" s="42">
        <f>'caratteristiche della sollecita'!F3</f>
        <v>362.53822629969414</v>
      </c>
      <c r="C40" s="42">
        <f>'caratteristiche della sollecita'!D27</f>
        <v>363.04924677975157</v>
      </c>
      <c r="D40" s="42">
        <f t="shared" si="5"/>
        <v>17.394671622757869</v>
      </c>
      <c r="E40" s="42">
        <f t="shared" si="6"/>
        <v>6315.1224306233635</v>
      </c>
      <c r="F40" s="42">
        <f t="shared" si="7"/>
        <v>109.69485912041942</v>
      </c>
    </row>
    <row r="41" spans="1:6" x14ac:dyDescent="0.25">
      <c r="A41" s="198">
        <v>3</v>
      </c>
      <c r="B41" s="42">
        <f>'caratteristiche della sollecita'!F4</f>
        <v>362.53822629969414</v>
      </c>
      <c r="C41" s="42">
        <f>'caratteristiche della sollecita'!D28</f>
        <v>292.63969588913312</v>
      </c>
      <c r="D41" s="42">
        <f t="shared" si="5"/>
        <v>14.616618679851271</v>
      </c>
      <c r="E41" s="42">
        <f t="shared" si="6"/>
        <v>4277.4028453990986</v>
      </c>
      <c r="F41" s="42">
        <f t="shared" si="7"/>
        <v>77.454675720166946</v>
      </c>
    </row>
    <row r="42" spans="1:6" x14ac:dyDescent="0.25">
      <c r="A42" s="198">
        <v>2</v>
      </c>
      <c r="B42" s="42">
        <f>'caratteristiche della sollecita'!F5</f>
        <v>362.53822629969414</v>
      </c>
      <c r="C42" s="42">
        <f>'caratteristiche della sollecita'!D29</f>
        <v>222.23014499851465</v>
      </c>
      <c r="D42" s="42">
        <f t="shared" si="5"/>
        <v>11.240596180065515</v>
      </c>
      <c r="E42" s="42">
        <f t="shared" si="6"/>
        <v>2497.9993189657093</v>
      </c>
      <c r="F42" s="42">
        <f t="shared" si="7"/>
        <v>45.807068331485077</v>
      </c>
    </row>
    <row r="43" spans="1:6" x14ac:dyDescent="0.25">
      <c r="A43" s="198">
        <v>1</v>
      </c>
      <c r="B43" s="42">
        <f>'caratteristiche della sollecita'!F6</f>
        <v>362.53822629969414</v>
      </c>
      <c r="C43" s="42">
        <f>'caratteristiche della sollecita'!D30</f>
        <v>151.82059410789614</v>
      </c>
      <c r="D43" s="42">
        <f t="shared" si="5"/>
        <v>7.671674847214355</v>
      </c>
      <c r="E43" s="42">
        <f t="shared" si="6"/>
        <v>1164.7182331066867</v>
      </c>
      <c r="F43" s="42">
        <f t="shared" si="7"/>
        <v>21.337040466886126</v>
      </c>
    </row>
    <row r="44" spans="1:6" x14ac:dyDescent="0.25">
      <c r="A44" s="198" t="s">
        <v>124</v>
      </c>
      <c r="B44" s="67">
        <f>'caratteristiche della sollecita'!F7</f>
        <v>335.61671763506627</v>
      </c>
      <c r="C44" s="42">
        <f>'caratteristiche della sollecita'!D31</f>
        <v>75.365589396475443</v>
      </c>
      <c r="D44" s="42">
        <f t="shared" si="5"/>
        <v>3.662078787950799</v>
      </c>
      <c r="E44" s="42">
        <f t="shared" si="6"/>
        <v>275.99472627024238</v>
      </c>
      <c r="F44" s="42">
        <f t="shared" si="7"/>
        <v>4.5008957413100639</v>
      </c>
    </row>
    <row r="45" spans="1:6" x14ac:dyDescent="0.25">
      <c r="A45" s="199" t="s">
        <v>17</v>
      </c>
      <c r="B45" s="199"/>
      <c r="C45" s="199"/>
      <c r="D45" s="199"/>
      <c r="E45" s="200">
        <f>SUM(E39:E44)</f>
        <v>20951.774485361933</v>
      </c>
      <c r="F45" s="200">
        <f>SUM(F39:F44)</f>
        <v>359.39848344394721</v>
      </c>
    </row>
    <row r="47" spans="1:6" x14ac:dyDescent="0.25">
      <c r="A47" s="204" t="s">
        <v>241</v>
      </c>
      <c r="B47" s="205">
        <f>2*PI()*(F45/E45)^0.5</f>
        <v>0.82291993477851333</v>
      </c>
      <c r="C47" s="206" t="s">
        <v>238</v>
      </c>
    </row>
    <row r="48" spans="1:6" ht="15.75" thickBot="1" x14ac:dyDescent="0.3"/>
    <row r="49" spans="1:6" ht="15.75" thickBot="1" x14ac:dyDescent="0.3">
      <c r="A49" s="274" t="s">
        <v>242</v>
      </c>
      <c r="B49" s="295"/>
      <c r="C49" s="295"/>
      <c r="D49" s="275"/>
      <c r="E49" s="1"/>
      <c r="F49" s="1"/>
    </row>
    <row r="50" spans="1:6" x14ac:dyDescent="0.25">
      <c r="A50" s="212" t="s">
        <v>243</v>
      </c>
      <c r="B50" s="213" t="str">
        <f>rigidezza!J146</f>
        <v>pilastri_x</v>
      </c>
      <c r="C50" s="8"/>
      <c r="D50" s="14" t="str">
        <f>rigidezza!K146</f>
        <v>pilastri_y</v>
      </c>
    </row>
    <row r="51" spans="1:6" x14ac:dyDescent="0.25">
      <c r="A51" s="210" t="s">
        <v>123</v>
      </c>
      <c r="B51" s="84">
        <f>rigidezza!J147</f>
        <v>6.5003026458471176</v>
      </c>
      <c r="C51" s="207"/>
      <c r="D51" s="177">
        <f>rigidezza!K147</f>
        <v>8.8789855157846418</v>
      </c>
    </row>
    <row r="52" spans="1:6" x14ac:dyDescent="0.25">
      <c r="A52" s="210">
        <v>5</v>
      </c>
      <c r="B52" s="84">
        <f>rigidezza!J148</f>
        <v>10.237406502704388</v>
      </c>
      <c r="C52" s="8"/>
      <c r="D52" s="177">
        <f>rigidezza!K148</f>
        <v>9.7377763779379798</v>
      </c>
    </row>
    <row r="53" spans="1:6" x14ac:dyDescent="0.25">
      <c r="A53" s="210">
        <v>4</v>
      </c>
      <c r="B53" s="84">
        <f>rigidezza!J149</f>
        <v>10.092419219137645</v>
      </c>
      <c r="C53" s="8"/>
      <c r="D53" s="177">
        <f>rigidezza!K149</f>
        <v>9.6129000680137722</v>
      </c>
    </row>
    <row r="54" spans="1:6" x14ac:dyDescent="0.25">
      <c r="A54" s="210">
        <v>3</v>
      </c>
      <c r="B54" s="84">
        <f>rigidezza!J150</f>
        <v>9.932900820871108</v>
      </c>
      <c r="C54" s="8"/>
      <c r="D54" s="177">
        <f>rigidezza!K150</f>
        <v>9.5016890745627798</v>
      </c>
    </row>
    <row r="55" spans="1:6" x14ac:dyDescent="0.25">
      <c r="A55" s="210">
        <v>2</v>
      </c>
      <c r="B55" s="84">
        <f>rigidezza!J151</f>
        <v>9.932900820871108</v>
      </c>
      <c r="C55" s="8"/>
      <c r="D55" s="177">
        <f>rigidezza!K151</f>
        <v>9.5016890745627798</v>
      </c>
    </row>
    <row r="56" spans="1:6" ht="15.75" thickBot="1" x14ac:dyDescent="0.3">
      <c r="A56" s="211" t="s">
        <v>202</v>
      </c>
      <c r="B56" s="83">
        <f>rigidezza!J152</f>
        <v>10.100530456468983</v>
      </c>
      <c r="C56" s="207"/>
      <c r="D56" s="178">
        <f>rigidezza!K152</f>
        <v>9.9353954002712452</v>
      </c>
    </row>
  </sheetData>
  <mergeCells count="3">
    <mergeCell ref="A1:F1"/>
    <mergeCell ref="A26:F26"/>
    <mergeCell ref="A49:D4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"/>
  <sheetViews>
    <sheetView workbookViewId="0">
      <selection activeCell="G48" sqref="G48"/>
    </sheetView>
  </sheetViews>
  <sheetFormatPr defaultRowHeight="15" x14ac:dyDescent="0.25"/>
  <cols>
    <col min="1" max="11" width="25.7109375" customWidth="1"/>
    <col min="12" max="12" width="25.28515625" customWidth="1"/>
    <col min="13" max="13" width="6.42578125" customWidth="1"/>
    <col min="14" max="14" width="21.7109375" customWidth="1"/>
    <col min="15" max="15" width="16.140625" customWidth="1"/>
    <col min="16" max="16" width="18.42578125" customWidth="1"/>
  </cols>
  <sheetData>
    <row r="1" spans="1:15" x14ac:dyDescent="0.25">
      <c r="A1" s="109" t="s">
        <v>141</v>
      </c>
      <c r="B1" s="110" t="s">
        <v>142</v>
      </c>
      <c r="C1" s="109" t="s">
        <v>143</v>
      </c>
      <c r="D1" s="109" t="s">
        <v>144</v>
      </c>
      <c r="E1" s="109" t="s">
        <v>145</v>
      </c>
      <c r="F1" s="109" t="s">
        <v>146</v>
      </c>
    </row>
    <row r="2" spans="1:15" x14ac:dyDescent="0.25">
      <c r="A2" s="162" t="s">
        <v>123</v>
      </c>
      <c r="B2" s="16">
        <v>2.7</v>
      </c>
      <c r="C2" s="16">
        <v>370.04</v>
      </c>
      <c r="D2" s="16">
        <v>8</v>
      </c>
      <c r="E2" s="42">
        <f t="shared" ref="E2:E7" si="0">C2*D2</f>
        <v>2960.32</v>
      </c>
      <c r="F2" s="42">
        <f t="shared" ref="F2:F7" si="1">E2/9.81</f>
        <v>301.76554536187564</v>
      </c>
    </row>
    <row r="3" spans="1:15" x14ac:dyDescent="0.25">
      <c r="A3" s="162">
        <v>5</v>
      </c>
      <c r="B3" s="16">
        <v>3.2</v>
      </c>
      <c r="C3" s="16">
        <v>355.65</v>
      </c>
      <c r="D3" s="16">
        <v>10</v>
      </c>
      <c r="E3" s="42">
        <f t="shared" si="0"/>
        <v>3556.5</v>
      </c>
      <c r="F3" s="42">
        <f t="shared" si="1"/>
        <v>362.53822629969414</v>
      </c>
    </row>
    <row r="4" spans="1:15" x14ac:dyDescent="0.25">
      <c r="A4" s="162">
        <v>4</v>
      </c>
      <c r="B4" s="16">
        <v>3.2</v>
      </c>
      <c r="C4" s="16">
        <v>355.65</v>
      </c>
      <c r="D4" s="16">
        <v>10</v>
      </c>
      <c r="E4" s="42">
        <f t="shared" si="0"/>
        <v>3556.5</v>
      </c>
      <c r="F4" s="42">
        <f t="shared" si="1"/>
        <v>362.53822629969414</v>
      </c>
    </row>
    <row r="5" spans="1:15" x14ac:dyDescent="0.25">
      <c r="A5" s="162">
        <v>3</v>
      </c>
      <c r="B5" s="16">
        <v>3.2</v>
      </c>
      <c r="C5" s="16">
        <v>355.65</v>
      </c>
      <c r="D5" s="16">
        <v>10</v>
      </c>
      <c r="E5" s="42">
        <f t="shared" si="0"/>
        <v>3556.5</v>
      </c>
      <c r="F5" s="42">
        <f t="shared" si="1"/>
        <v>362.53822629969414</v>
      </c>
    </row>
    <row r="6" spans="1:15" x14ac:dyDescent="0.25">
      <c r="A6" s="162">
        <v>2</v>
      </c>
      <c r="B6" s="16">
        <v>3.2</v>
      </c>
      <c r="C6" s="16">
        <v>355.65</v>
      </c>
      <c r="D6" s="16">
        <v>10</v>
      </c>
      <c r="E6" s="42">
        <f>C6*D6</f>
        <v>3556.5</v>
      </c>
      <c r="F6" s="42">
        <f t="shared" si="1"/>
        <v>362.53822629969414</v>
      </c>
    </row>
    <row r="7" spans="1:15" ht="15.75" thickBot="1" x14ac:dyDescent="0.3">
      <c r="A7" s="162" t="s">
        <v>202</v>
      </c>
      <c r="B7" s="59">
        <v>3.7</v>
      </c>
      <c r="C7" s="59">
        <v>329.24</v>
      </c>
      <c r="D7" s="59">
        <v>10</v>
      </c>
      <c r="E7" s="67">
        <f t="shared" si="0"/>
        <v>3292.4</v>
      </c>
      <c r="F7" s="67">
        <f t="shared" si="1"/>
        <v>335.61671763506627</v>
      </c>
    </row>
    <row r="8" spans="1:15" ht="15.75" thickBot="1" x14ac:dyDescent="0.3">
      <c r="A8" s="272" t="s">
        <v>17</v>
      </c>
      <c r="B8" s="282"/>
      <c r="C8" s="282"/>
      <c r="D8" s="273"/>
      <c r="E8" s="111">
        <f>SUM(E2:E7)</f>
        <v>20478.72</v>
      </c>
      <c r="F8" s="112">
        <f>SUM(F2:F6)</f>
        <v>1751.918450560652</v>
      </c>
    </row>
    <row r="10" spans="1:15" ht="15.75" thickBot="1" x14ac:dyDescent="0.3">
      <c r="A10" s="8"/>
      <c r="B10" s="8"/>
    </row>
    <row r="11" spans="1:15" ht="15.75" thickBot="1" x14ac:dyDescent="0.3">
      <c r="A11" s="53" t="s">
        <v>149</v>
      </c>
      <c r="B11" s="26">
        <v>7.4999999999999997E-2</v>
      </c>
      <c r="F11" s="77" t="s">
        <v>150</v>
      </c>
      <c r="G11" s="164">
        <v>18</v>
      </c>
      <c r="O11" s="113"/>
    </row>
    <row r="12" spans="1:15" ht="15.75" thickBot="1" x14ac:dyDescent="0.3">
      <c r="A12" s="49" t="s">
        <v>151</v>
      </c>
      <c r="B12" s="17">
        <f>SUM(B2:B7)</f>
        <v>19.2</v>
      </c>
      <c r="F12" s="12" t="s">
        <v>152</v>
      </c>
      <c r="G12" s="20" t="s">
        <v>154</v>
      </c>
      <c r="I12" t="s">
        <v>203</v>
      </c>
      <c r="J12">
        <v>6</v>
      </c>
    </row>
    <row r="13" spans="1:15" ht="15.75" thickBot="1" x14ac:dyDescent="0.3">
      <c r="A13" s="49" t="s">
        <v>153</v>
      </c>
      <c r="B13" s="47">
        <f>0.8</f>
        <v>0.8</v>
      </c>
      <c r="E13" s="243" t="s">
        <v>123</v>
      </c>
      <c r="F13" s="167">
        <f>rigidezza!J147</f>
        <v>6.5003026458471176</v>
      </c>
      <c r="G13" s="167">
        <f>rigidezza!K147</f>
        <v>8.8789855157846418</v>
      </c>
    </row>
    <row r="14" spans="1:15" ht="15.75" thickBot="1" x14ac:dyDescent="0.3">
      <c r="A14" s="49" t="s">
        <v>155</v>
      </c>
      <c r="B14" s="101">
        <v>0.105</v>
      </c>
      <c r="E14" s="244">
        <v>5</v>
      </c>
      <c r="F14" s="168">
        <f>rigidezza!J148</f>
        <v>10.237406502704388</v>
      </c>
      <c r="G14" s="168">
        <f>rigidezza!K148</f>
        <v>9.7377763779379798</v>
      </c>
    </row>
    <row r="15" spans="1:15" ht="15.75" thickBot="1" x14ac:dyDescent="0.3">
      <c r="A15" s="49" t="s">
        <v>156</v>
      </c>
      <c r="B15" s="101">
        <v>7.1999999999999995E-2</v>
      </c>
      <c r="E15" s="244">
        <v>4</v>
      </c>
      <c r="F15" s="168">
        <f>rigidezza!J149</f>
        <v>10.092419219137645</v>
      </c>
      <c r="G15" s="168">
        <f>rigidezza!K149</f>
        <v>9.6129000680137722</v>
      </c>
    </row>
    <row r="16" spans="1:15" ht="15.75" thickBot="1" x14ac:dyDescent="0.3">
      <c r="A16" s="114" t="s">
        <v>157</v>
      </c>
      <c r="B16" s="17">
        <v>1.3</v>
      </c>
      <c r="E16" s="244">
        <v>3</v>
      </c>
      <c r="F16" s="168">
        <f>rigidezza!J150</f>
        <v>9.932900820871108</v>
      </c>
      <c r="G16" s="168">
        <f>rigidezza!K150</f>
        <v>9.5016890745627798</v>
      </c>
    </row>
    <row r="17" spans="1:11" ht="15.75" thickBot="1" x14ac:dyDescent="0.3">
      <c r="A17" s="114" t="s">
        <v>158</v>
      </c>
      <c r="B17" s="17">
        <f>4.5*B16</f>
        <v>5.8500000000000005</v>
      </c>
      <c r="C17" s="163" t="s">
        <v>159</v>
      </c>
      <c r="E17" s="244">
        <v>2</v>
      </c>
      <c r="F17" s="168">
        <f>rigidezza!J151</f>
        <v>9.932900820871108</v>
      </c>
      <c r="G17" s="168">
        <f>rigidezza!K151</f>
        <v>9.5016890745627798</v>
      </c>
    </row>
    <row r="18" spans="1:11" ht="15.75" thickBot="1" x14ac:dyDescent="0.3">
      <c r="A18" s="114" t="s">
        <v>160</v>
      </c>
      <c r="B18" s="17">
        <v>1</v>
      </c>
      <c r="E18" s="244" t="s">
        <v>202</v>
      </c>
      <c r="F18" s="168">
        <f>rigidezza!J152</f>
        <v>10.100530456468983</v>
      </c>
      <c r="G18" s="168">
        <f>rigidezza!K152</f>
        <v>9.9353954002712452</v>
      </c>
    </row>
    <row r="19" spans="1:11" ht="15.75" thickBot="1" x14ac:dyDescent="0.3">
      <c r="A19" s="115" t="s">
        <v>161</v>
      </c>
      <c r="B19" s="28">
        <f>B17*B18</f>
        <v>5.8500000000000005</v>
      </c>
      <c r="F19" s="145"/>
    </row>
    <row r="20" spans="1:11" x14ac:dyDescent="0.25">
      <c r="D20" s="214"/>
      <c r="E20" s="214"/>
    </row>
    <row r="21" spans="1:11" ht="15.75" thickBot="1" x14ac:dyDescent="0.3"/>
    <row r="22" spans="1:11" ht="15.75" thickBot="1" x14ac:dyDescent="0.3">
      <c r="A22" s="283" t="s">
        <v>162</v>
      </c>
      <c r="B22" s="284"/>
      <c r="C22" s="284"/>
      <c r="D22" s="284"/>
      <c r="E22" s="285"/>
    </row>
    <row r="23" spans="1:11" ht="15.75" customHeight="1" thickBot="1" x14ac:dyDescent="0.3">
      <c r="A23" s="116" t="s">
        <v>163</v>
      </c>
      <c r="B23" s="117">
        <f>0.85*E8*B15</f>
        <v>1253.2976639999999</v>
      </c>
      <c r="C23" t="s">
        <v>164</v>
      </c>
    </row>
    <row r="24" spans="1:11" ht="15.75" thickBot="1" x14ac:dyDescent="0.3"/>
    <row r="25" spans="1:11" x14ac:dyDescent="0.25">
      <c r="B25" s="118" t="s">
        <v>165</v>
      </c>
      <c r="C25" s="119" t="s">
        <v>166</v>
      </c>
      <c r="D25" s="119" t="s">
        <v>167</v>
      </c>
      <c r="E25" s="119" t="s">
        <v>168</v>
      </c>
      <c r="F25" s="119" t="s">
        <v>169</v>
      </c>
      <c r="G25" s="119" t="s">
        <v>170</v>
      </c>
      <c r="H25" s="120" t="s">
        <v>171</v>
      </c>
      <c r="I25" s="120" t="s">
        <v>172</v>
      </c>
      <c r="J25" s="120" t="s">
        <v>173</v>
      </c>
      <c r="K25" s="121" t="s">
        <v>174</v>
      </c>
    </row>
    <row r="26" spans="1:11" x14ac:dyDescent="0.25">
      <c r="B26" s="105">
        <f>B27+B2</f>
        <v>19.2</v>
      </c>
      <c r="C26" s="42">
        <f t="shared" ref="C26:C31" si="2">E2*B26</f>
        <v>56838.144</v>
      </c>
      <c r="D26" s="42">
        <f t="shared" ref="D26:D31" si="3">(C26*$B$23)/$C$33</f>
        <v>302.53051563916398</v>
      </c>
      <c r="E26" s="42">
        <f>D26</f>
        <v>302.53051563916398</v>
      </c>
      <c r="F26" s="42">
        <f t="shared" ref="F26:F31" si="4">E26/F13</f>
        <v>46.540989261852793</v>
      </c>
      <c r="G26" s="42">
        <f>0.5*F26*B2</f>
        <v>62.830335503501274</v>
      </c>
      <c r="H26" s="42">
        <f>G26/2</f>
        <v>31.415167751750637</v>
      </c>
      <c r="I26" s="42">
        <f t="shared" ref="I26:I31" si="5">H26/$J$12</f>
        <v>5.2358612919584395</v>
      </c>
      <c r="J26" s="42">
        <f t="shared" ref="J26:J31" si="6">2*I26</f>
        <v>10.471722583916879</v>
      </c>
      <c r="K26" s="47">
        <f>J26</f>
        <v>10.471722583916879</v>
      </c>
    </row>
    <row r="27" spans="1:11" x14ac:dyDescent="0.25">
      <c r="B27" s="105">
        <f>B28+B3</f>
        <v>16.5</v>
      </c>
      <c r="C27" s="42">
        <f t="shared" si="2"/>
        <v>58682.25</v>
      </c>
      <c r="D27" s="42">
        <f t="shared" si="3"/>
        <v>312.34607786218936</v>
      </c>
      <c r="E27" s="42">
        <f>E26+D27</f>
        <v>614.87659350135334</v>
      </c>
      <c r="F27" s="42">
        <f t="shared" si="4"/>
        <v>60.061754247906734</v>
      </c>
      <c r="G27" s="42">
        <f>0.5*F27*B3</f>
        <v>96.098806796650777</v>
      </c>
      <c r="H27" s="42">
        <f>(G26+G27)/2</f>
        <v>79.464571150076026</v>
      </c>
      <c r="I27" s="42">
        <f t="shared" si="5"/>
        <v>13.244095191679337</v>
      </c>
      <c r="J27" s="42">
        <f t="shared" si="6"/>
        <v>26.488190383358674</v>
      </c>
      <c r="K27" s="47">
        <f>K26+J27</f>
        <v>36.959912967275557</v>
      </c>
    </row>
    <row r="28" spans="1:11" x14ac:dyDescent="0.25">
      <c r="B28" s="105">
        <f>B29+B4</f>
        <v>13.3</v>
      </c>
      <c r="C28" s="42">
        <f t="shared" si="2"/>
        <v>47301.450000000004</v>
      </c>
      <c r="D28" s="42">
        <f t="shared" si="3"/>
        <v>251.76986882224961</v>
      </c>
      <c r="E28" s="42">
        <f>E27+D28</f>
        <v>866.64646232360292</v>
      </c>
      <c r="F28" s="42">
        <f t="shared" si="4"/>
        <v>85.871032852086998</v>
      </c>
      <c r="G28" s="42">
        <f>0.5*F28*B4</f>
        <v>137.3936525633392</v>
      </c>
      <c r="H28" s="42">
        <f>(G27+G28)/2</f>
        <v>116.746229679995</v>
      </c>
      <c r="I28" s="42">
        <f t="shared" si="5"/>
        <v>19.457704946665832</v>
      </c>
      <c r="J28" s="42">
        <f t="shared" si="6"/>
        <v>38.915409893331663</v>
      </c>
      <c r="K28" s="47">
        <f>K27+J28</f>
        <v>75.875322860607213</v>
      </c>
    </row>
    <row r="29" spans="1:11" x14ac:dyDescent="0.25">
      <c r="B29" s="105">
        <f>B30+B5</f>
        <v>10.100000000000001</v>
      </c>
      <c r="C29" s="42">
        <f t="shared" si="2"/>
        <v>35920.65</v>
      </c>
      <c r="D29" s="42">
        <f t="shared" si="3"/>
        <v>191.19365978230982</v>
      </c>
      <c r="E29" s="42">
        <f>E28+D29</f>
        <v>1057.8401221059128</v>
      </c>
      <c r="F29" s="42">
        <f t="shared" si="4"/>
        <v>106.49860913572888</v>
      </c>
      <c r="G29" s="42">
        <f>0.5*F29*B5</f>
        <v>170.39777461716622</v>
      </c>
      <c r="H29" s="42">
        <f>(G28+G29)/2</f>
        <v>153.89571359025271</v>
      </c>
      <c r="I29" s="42">
        <f t="shared" si="5"/>
        <v>25.649285598375453</v>
      </c>
      <c r="J29" s="42">
        <f t="shared" si="6"/>
        <v>51.298571196750906</v>
      </c>
      <c r="K29" s="47">
        <f>K28+J29</f>
        <v>127.17389405735813</v>
      </c>
    </row>
    <row r="30" spans="1:11" ht="15.75" thickBot="1" x14ac:dyDescent="0.3">
      <c r="B30" s="105">
        <f>B31+B6</f>
        <v>6.9</v>
      </c>
      <c r="C30" s="42">
        <f t="shared" si="2"/>
        <v>24539.850000000002</v>
      </c>
      <c r="D30" s="42">
        <f t="shared" si="3"/>
        <v>130.6174507423701</v>
      </c>
      <c r="E30" s="42">
        <f>E29+D30</f>
        <v>1188.4575728482828</v>
      </c>
      <c r="F30" s="42">
        <f t="shared" si="4"/>
        <v>119.64858949875791</v>
      </c>
      <c r="G30" s="42">
        <f>0.5*F30*B6</f>
        <v>191.43774319801267</v>
      </c>
      <c r="H30" s="42">
        <f>(G29+G30)/2</f>
        <v>180.91775890758944</v>
      </c>
      <c r="I30" s="42">
        <f t="shared" si="5"/>
        <v>30.152959817931574</v>
      </c>
      <c r="J30" s="42">
        <f t="shared" si="6"/>
        <v>60.305919635863148</v>
      </c>
      <c r="K30" s="47">
        <f>K29+J30</f>
        <v>187.47981369322127</v>
      </c>
    </row>
    <row r="31" spans="1:11" ht="15.75" thickBot="1" x14ac:dyDescent="0.3">
      <c r="A31" s="122" t="s">
        <v>175</v>
      </c>
      <c r="B31" s="123">
        <v>3.7</v>
      </c>
      <c r="C31" s="36">
        <f t="shared" si="2"/>
        <v>12181.880000000001</v>
      </c>
      <c r="D31" s="42">
        <f t="shared" si="3"/>
        <v>64.840091151717047</v>
      </c>
      <c r="E31" s="36">
        <f>E30+D31</f>
        <v>1253.2976639999997</v>
      </c>
      <c r="F31" s="42">
        <f t="shared" si="4"/>
        <v>124.08236076327191</v>
      </c>
      <c r="G31" s="36">
        <f>0.4*F31*B7</f>
        <v>183.64189392964246</v>
      </c>
      <c r="H31" s="36">
        <f>(G30+G31)/2</f>
        <v>187.53981856382757</v>
      </c>
      <c r="I31" s="42">
        <f t="shared" si="5"/>
        <v>31.256636427304596</v>
      </c>
      <c r="J31" s="42">
        <f t="shared" si="6"/>
        <v>62.513272854609191</v>
      </c>
      <c r="K31" s="47">
        <f>K30+J31</f>
        <v>249.99308654783047</v>
      </c>
    </row>
    <row r="32" spans="1:11" ht="15.75" thickBot="1" x14ac:dyDescent="0.3">
      <c r="A32" s="124" t="s">
        <v>176</v>
      </c>
      <c r="G32" s="60">
        <f>0.6*F31*B7</f>
        <v>275.46284089446362</v>
      </c>
    </row>
    <row r="33" spans="1:9" ht="15.75" thickBot="1" x14ac:dyDescent="0.3">
      <c r="A33" s="125" t="s">
        <v>17</v>
      </c>
      <c r="B33" s="126"/>
      <c r="C33" s="127">
        <f>SUM(C26:C31)</f>
        <v>235464.22400000002</v>
      </c>
      <c r="D33" s="127">
        <f>SUM(D26:D31)</f>
        <v>1253.2976639999997</v>
      </c>
      <c r="E33" s="128">
        <f>SUM(E26:E31)</f>
        <v>5283.648930418316</v>
      </c>
    </row>
    <row r="34" spans="1:9" x14ac:dyDescent="0.25">
      <c r="A34" s="8"/>
      <c r="B34" s="38"/>
      <c r="C34" s="129"/>
      <c r="D34" s="8"/>
    </row>
    <row r="35" spans="1:9" ht="15.75" thickBot="1" x14ac:dyDescent="0.3">
      <c r="A35" s="8"/>
      <c r="B35" s="8"/>
      <c r="C35" s="8"/>
      <c r="D35" s="8"/>
    </row>
    <row r="36" spans="1:9" ht="15.75" thickBot="1" x14ac:dyDescent="0.3">
      <c r="E36" s="286" t="s">
        <v>177</v>
      </c>
      <c r="F36" s="280"/>
      <c r="G36" s="280"/>
      <c r="H36" s="281"/>
      <c r="I36" s="130"/>
    </row>
    <row r="37" spans="1:9" ht="15.75" thickBot="1" x14ac:dyDescent="0.3">
      <c r="E37" s="53" t="s">
        <v>178</v>
      </c>
      <c r="F37" s="54" t="s">
        <v>169</v>
      </c>
      <c r="G37" s="54" t="s">
        <v>170</v>
      </c>
      <c r="H37" s="55" t="s">
        <v>171</v>
      </c>
    </row>
    <row r="38" spans="1:9" x14ac:dyDescent="0.25">
      <c r="D38" s="131" t="s">
        <v>123</v>
      </c>
      <c r="E38" s="132">
        <f t="shared" ref="E38:G44" si="7">E26</f>
        <v>302.53051563916398</v>
      </c>
      <c r="F38" s="133">
        <f>F26*1.2</f>
        <v>55.849187114223348</v>
      </c>
      <c r="G38" s="133">
        <f>G26*1.2</f>
        <v>75.396402604201526</v>
      </c>
      <c r="H38" s="17">
        <f>H26*1.2</f>
        <v>37.698201302100763</v>
      </c>
    </row>
    <row r="39" spans="1:9" x14ac:dyDescent="0.25">
      <c r="D39" s="134">
        <v>4</v>
      </c>
      <c r="E39" s="132">
        <f t="shared" si="7"/>
        <v>614.87659350135334</v>
      </c>
      <c r="F39" s="133">
        <f>F27*1.2</f>
        <v>72.074105097488072</v>
      </c>
      <c r="G39" s="133">
        <f t="shared" si="7"/>
        <v>96.098806796650777</v>
      </c>
      <c r="H39" s="17">
        <f>H27*1.2</f>
        <v>95.357485380091234</v>
      </c>
    </row>
    <row r="40" spans="1:9" x14ac:dyDescent="0.25">
      <c r="D40" s="134">
        <v>3</v>
      </c>
      <c r="E40" s="132">
        <f t="shared" si="7"/>
        <v>866.64646232360292</v>
      </c>
      <c r="F40" s="133">
        <f>F28*1.2</f>
        <v>103.04523942250439</v>
      </c>
      <c r="G40" s="133">
        <f t="shared" si="7"/>
        <v>137.3936525633392</v>
      </c>
      <c r="H40" s="17">
        <f>H28*1.2</f>
        <v>140.09547561599399</v>
      </c>
    </row>
    <row r="41" spans="1:9" x14ac:dyDescent="0.25">
      <c r="D41" s="134">
        <v>2</v>
      </c>
      <c r="E41" s="132">
        <f t="shared" si="7"/>
        <v>1057.8401221059128</v>
      </c>
      <c r="F41" s="133">
        <f>F29*1.2</f>
        <v>127.79833096287466</v>
      </c>
      <c r="G41" s="133">
        <f t="shared" si="7"/>
        <v>170.39777461716622</v>
      </c>
      <c r="H41" s="17">
        <f>H29*1.2</f>
        <v>184.67485630830325</v>
      </c>
    </row>
    <row r="42" spans="1:9" x14ac:dyDescent="0.25">
      <c r="D42" s="134">
        <v>1</v>
      </c>
      <c r="E42" s="132">
        <f t="shared" si="7"/>
        <v>1188.4575728482828</v>
      </c>
      <c r="F42" s="133">
        <f>F30*1.2</f>
        <v>143.57830739850948</v>
      </c>
      <c r="G42" s="133">
        <f t="shared" si="7"/>
        <v>191.43774319801267</v>
      </c>
      <c r="H42" s="17">
        <f>H30*1.2</f>
        <v>217.10131068910732</v>
      </c>
    </row>
    <row r="43" spans="1:9" ht="15.75" thickBot="1" x14ac:dyDescent="0.3">
      <c r="D43" s="135" t="s">
        <v>179</v>
      </c>
      <c r="E43" s="132">
        <f t="shared" si="7"/>
        <v>1253.2976639999997</v>
      </c>
      <c r="F43" s="133">
        <f>F31*1.2</f>
        <v>148.89883291592628</v>
      </c>
      <c r="G43" s="136">
        <f t="shared" si="7"/>
        <v>183.64189392964246</v>
      </c>
      <c r="H43" s="17">
        <f>H31*1.2</f>
        <v>225.04778227659307</v>
      </c>
    </row>
    <row r="44" spans="1:9" ht="15.75" thickBot="1" x14ac:dyDescent="0.3">
      <c r="D44" s="137" t="s">
        <v>180</v>
      </c>
      <c r="E44" s="138"/>
      <c r="F44" s="138"/>
      <c r="G44" s="139">
        <f t="shared" si="7"/>
        <v>275.46284089446362</v>
      </c>
      <c r="H44" s="8"/>
    </row>
    <row r="45" spans="1:9" ht="15.75" thickBot="1" x14ac:dyDescent="0.3">
      <c r="E45" s="8"/>
      <c r="F45" s="8"/>
    </row>
    <row r="46" spans="1:9" ht="15.75" thickBot="1" x14ac:dyDescent="0.3">
      <c r="E46" s="287" t="s">
        <v>181</v>
      </c>
      <c r="F46" s="288"/>
      <c r="G46" s="288"/>
      <c r="H46" s="289"/>
    </row>
    <row r="47" spans="1:9" ht="15.75" thickBot="1" x14ac:dyDescent="0.3">
      <c r="E47" s="140" t="s">
        <v>178</v>
      </c>
      <c r="F47" s="141" t="s">
        <v>169</v>
      </c>
      <c r="G47" s="141" t="s">
        <v>170</v>
      </c>
      <c r="H47" s="142" t="s">
        <v>171</v>
      </c>
    </row>
    <row r="48" spans="1:9" x14ac:dyDescent="0.25">
      <c r="D48" s="131" t="s">
        <v>123</v>
      </c>
      <c r="E48" s="143">
        <v>475.61367520889002</v>
      </c>
      <c r="F48" s="38">
        <f t="shared" ref="F48:H53" si="8">F26</f>
        <v>46.540989261852793</v>
      </c>
      <c r="G48" s="38">
        <f t="shared" ref="G48:G53" si="9">G26*1.5</f>
        <v>94.245503255251919</v>
      </c>
      <c r="H48" s="84">
        <f t="shared" si="8"/>
        <v>31.415167751750637</v>
      </c>
    </row>
    <row r="49" spans="1:10" x14ac:dyDescent="0.25">
      <c r="D49" s="134">
        <v>4</v>
      </c>
      <c r="E49" s="143">
        <v>1013.5022063720858</v>
      </c>
      <c r="F49" s="38">
        <f t="shared" si="8"/>
        <v>60.061754247906734</v>
      </c>
      <c r="G49" s="38">
        <f t="shared" si="9"/>
        <v>144.14821019497617</v>
      </c>
      <c r="H49" s="84">
        <f t="shared" si="8"/>
        <v>79.464571150076026</v>
      </c>
    </row>
    <row r="50" spans="1:10" x14ac:dyDescent="0.25">
      <c r="D50" s="134">
        <v>3</v>
      </c>
      <c r="E50" s="143">
        <v>1447.0729617945406</v>
      </c>
      <c r="F50" s="38">
        <f t="shared" si="8"/>
        <v>85.871032852086998</v>
      </c>
      <c r="G50" s="38">
        <f t="shared" si="9"/>
        <v>206.09047884500882</v>
      </c>
      <c r="H50" s="84">
        <f t="shared" si="8"/>
        <v>116.746229679995</v>
      </c>
    </row>
    <row r="51" spans="1:10" x14ac:dyDescent="0.25">
      <c r="D51" s="134">
        <v>2</v>
      </c>
      <c r="E51" s="143">
        <v>1776.3259414762542</v>
      </c>
      <c r="F51" s="38">
        <f t="shared" si="8"/>
        <v>106.49860913572888</v>
      </c>
      <c r="G51" s="38">
        <f t="shared" si="9"/>
        <v>255.59666192574934</v>
      </c>
      <c r="H51" s="84">
        <f t="shared" si="8"/>
        <v>153.89571359025271</v>
      </c>
    </row>
    <row r="52" spans="1:10" x14ac:dyDescent="0.25">
      <c r="D52" s="134">
        <v>1</v>
      </c>
      <c r="E52" s="143">
        <v>1984.5578170435981</v>
      </c>
      <c r="F52" s="38">
        <f t="shared" si="8"/>
        <v>119.64858949875791</v>
      </c>
      <c r="G52" s="38">
        <f t="shared" si="9"/>
        <v>287.15661479701902</v>
      </c>
      <c r="H52" s="84">
        <f t="shared" si="8"/>
        <v>180.91775890758944</v>
      </c>
    </row>
    <row r="53" spans="1:10" ht="15.75" thickBot="1" x14ac:dyDescent="0.3">
      <c r="D53" s="135" t="s">
        <v>179</v>
      </c>
      <c r="E53" s="144">
        <v>2096.2183879999998</v>
      </c>
      <c r="F53" s="144">
        <f t="shared" si="8"/>
        <v>124.08236076327191</v>
      </c>
      <c r="G53" s="38">
        <f t="shared" si="9"/>
        <v>275.46284089446368</v>
      </c>
      <c r="H53" s="83">
        <f t="shared" si="8"/>
        <v>187.53981856382757</v>
      </c>
    </row>
    <row r="54" spans="1:10" ht="15.75" thickBot="1" x14ac:dyDescent="0.3">
      <c r="D54" s="137" t="s">
        <v>180</v>
      </c>
      <c r="E54" s="145"/>
      <c r="F54" s="145"/>
      <c r="G54" s="146">
        <f>0.6*F53*B7</f>
        <v>275.46284089446362</v>
      </c>
      <c r="H54" s="145"/>
    </row>
    <row r="56" spans="1:10" ht="15.75" thickBot="1" x14ac:dyDescent="0.3"/>
    <row r="57" spans="1:10" ht="15.75" thickBot="1" x14ac:dyDescent="0.3">
      <c r="A57" s="251" t="s">
        <v>182</v>
      </c>
      <c r="B57" s="252"/>
      <c r="C57" s="252"/>
      <c r="D57" s="252"/>
      <c r="E57" s="252"/>
      <c r="F57" s="252"/>
      <c r="G57" s="253"/>
    </row>
    <row r="58" spans="1:10" ht="15.75" thickBot="1" x14ac:dyDescent="0.3">
      <c r="A58" s="103"/>
      <c r="B58" s="103"/>
      <c r="C58" s="103"/>
      <c r="D58" s="103"/>
      <c r="E58" s="103"/>
      <c r="F58" s="103"/>
      <c r="G58" s="103"/>
    </row>
    <row r="59" spans="1:10" ht="15.75" thickBot="1" x14ac:dyDescent="0.3">
      <c r="A59" s="147" t="s">
        <v>120</v>
      </c>
      <c r="B59" s="148" t="s">
        <v>183</v>
      </c>
      <c r="C59" s="148" t="s">
        <v>184</v>
      </c>
      <c r="D59" s="148" t="s">
        <v>185</v>
      </c>
      <c r="E59" s="148" t="s">
        <v>174</v>
      </c>
      <c r="F59" s="148" t="s">
        <v>186</v>
      </c>
      <c r="G59" s="147" t="s">
        <v>187</v>
      </c>
    </row>
    <row r="60" spans="1:10" x14ac:dyDescent="0.25">
      <c r="A60" s="149" t="s">
        <v>123</v>
      </c>
      <c r="B60" s="169">
        <f t="shared" ref="B60:B66" si="10">G48</f>
        <v>94.245503255251919</v>
      </c>
      <c r="C60" s="82">
        <f>'carichi unitari'!B167</f>
        <v>276.54534348000004</v>
      </c>
      <c r="D60" s="82">
        <f>'carichi unitari'!C167</f>
        <v>80.888311980000012</v>
      </c>
      <c r="E60" s="82">
        <f t="shared" ref="E60:E65" si="11">K26</f>
        <v>10.471722583916879</v>
      </c>
      <c r="F60" s="170">
        <f t="shared" ref="F60:F65" si="12">C60+E60</f>
        <v>287.0170660639169</v>
      </c>
      <c r="G60" s="171">
        <f t="shared" ref="G60:G65" si="13">D60-E60</f>
        <v>70.41658939608314</v>
      </c>
    </row>
    <row r="61" spans="1:10" x14ac:dyDescent="0.25">
      <c r="A61" s="6">
        <v>4</v>
      </c>
      <c r="B61" s="172">
        <f t="shared" si="10"/>
        <v>144.14821019497617</v>
      </c>
      <c r="C61" s="38">
        <f>'carichi unitari'!B168</f>
        <v>291.84314348000004</v>
      </c>
      <c r="D61" s="38">
        <f>'carichi unitari'!C168</f>
        <v>96.186111980000007</v>
      </c>
      <c r="E61" s="38">
        <f t="shared" si="11"/>
        <v>36.959912967275557</v>
      </c>
      <c r="F61" s="150">
        <f t="shared" si="12"/>
        <v>328.80305644727559</v>
      </c>
      <c r="G61" s="151">
        <f t="shared" si="13"/>
        <v>59.22619901272445</v>
      </c>
    </row>
    <row r="62" spans="1:10" x14ac:dyDescent="0.25">
      <c r="A62" s="6">
        <v>3</v>
      </c>
      <c r="B62" s="172">
        <f t="shared" si="10"/>
        <v>206.09047884500882</v>
      </c>
      <c r="C62" s="38">
        <f>'carichi unitari'!B169</f>
        <v>583.68628696000007</v>
      </c>
      <c r="D62" s="38">
        <f>'carichi unitari'!C169</f>
        <v>192.37222396000001</v>
      </c>
      <c r="E62" s="38">
        <f t="shared" si="11"/>
        <v>75.875322860607213</v>
      </c>
      <c r="F62" s="150">
        <f t="shared" si="12"/>
        <v>659.56160982060726</v>
      </c>
      <c r="G62" s="151">
        <f t="shared" si="13"/>
        <v>116.4969010993928</v>
      </c>
    </row>
    <row r="63" spans="1:10" x14ac:dyDescent="0.25">
      <c r="A63" s="6">
        <v>2</v>
      </c>
      <c r="B63" s="172">
        <f t="shared" si="10"/>
        <v>255.59666192574934</v>
      </c>
      <c r="C63" s="38">
        <f>'carichi unitari'!B170</f>
        <v>875.52943044000017</v>
      </c>
      <c r="D63" s="38">
        <f>'carichi unitari'!C170</f>
        <v>288.55833594000001</v>
      </c>
      <c r="E63" s="38">
        <f t="shared" si="11"/>
        <v>127.17389405735813</v>
      </c>
      <c r="F63" s="150">
        <f t="shared" si="12"/>
        <v>1002.7033244973583</v>
      </c>
      <c r="G63" s="151">
        <f t="shared" si="13"/>
        <v>161.38444188264188</v>
      </c>
    </row>
    <row r="64" spans="1:10" x14ac:dyDescent="0.25">
      <c r="A64" s="6">
        <v>1</v>
      </c>
      <c r="B64" s="173">
        <f t="shared" si="10"/>
        <v>287.15661479701902</v>
      </c>
      <c r="C64" s="38">
        <f>'carichi unitari'!B171</f>
        <v>1167.3725739200001</v>
      </c>
      <c r="D64" s="38">
        <f>'carichi unitari'!C171</f>
        <v>384.74444792000003</v>
      </c>
      <c r="E64" s="38">
        <f t="shared" si="11"/>
        <v>187.47981369322127</v>
      </c>
      <c r="F64" s="150">
        <f t="shared" si="12"/>
        <v>1354.8523876132215</v>
      </c>
      <c r="G64" s="152">
        <f t="shared" si="13"/>
        <v>197.26463422677875</v>
      </c>
      <c r="I64" s="8"/>
      <c r="J64" s="8"/>
    </row>
    <row r="65" spans="1:10" ht="15.75" thickBot="1" x14ac:dyDescent="0.3">
      <c r="A65" s="149" t="s">
        <v>188</v>
      </c>
      <c r="B65" s="174">
        <f t="shared" si="10"/>
        <v>275.46284089446368</v>
      </c>
      <c r="C65" s="144">
        <f>'carichi unitari'!B172</f>
        <v>1459.2157174000001</v>
      </c>
      <c r="D65" s="144">
        <f>'carichi unitari'!C172</f>
        <v>480.93055990000005</v>
      </c>
      <c r="E65" s="144">
        <f t="shared" si="11"/>
        <v>249.99308654783047</v>
      </c>
      <c r="F65" s="153">
        <f t="shared" si="12"/>
        <v>1709.2088039478306</v>
      </c>
      <c r="G65" s="154">
        <f t="shared" si="13"/>
        <v>230.93747335216958</v>
      </c>
      <c r="I65" s="8"/>
      <c r="J65" s="8"/>
    </row>
    <row r="66" spans="1:10" ht="15.75" thickBot="1" x14ac:dyDescent="0.3">
      <c r="A66" s="13" t="s">
        <v>189</v>
      </c>
      <c r="B66" s="83">
        <f t="shared" si="10"/>
        <v>275.46284089446362</v>
      </c>
      <c r="C66" s="38"/>
      <c r="D66" s="8"/>
      <c r="E66" s="8"/>
      <c r="F66" s="8"/>
      <c r="G66" s="8"/>
    </row>
    <row r="67" spans="1:10" ht="15.75" customHeight="1" thickBot="1" x14ac:dyDescent="0.3">
      <c r="C67" s="8"/>
      <c r="D67" s="8"/>
      <c r="G67" s="8"/>
      <c r="H67" s="8"/>
      <c r="I67" s="8"/>
      <c r="J67" s="8"/>
    </row>
    <row r="68" spans="1:10" ht="15.75" thickBot="1" x14ac:dyDescent="0.3">
      <c r="A68" s="69" t="s">
        <v>190</v>
      </c>
      <c r="B68" s="71">
        <v>391.3</v>
      </c>
      <c r="D68" s="77" t="s">
        <v>191</v>
      </c>
      <c r="E68" s="77">
        <v>30</v>
      </c>
      <c r="G68" s="8"/>
      <c r="H68" s="38"/>
      <c r="I68" s="8"/>
      <c r="J68" s="8"/>
    </row>
    <row r="69" spans="1:10" ht="15.75" thickBot="1" x14ac:dyDescent="0.3">
      <c r="A69" s="12" t="s">
        <v>192</v>
      </c>
      <c r="B69" s="13">
        <v>14.17</v>
      </c>
      <c r="G69" s="8"/>
      <c r="H69" s="8"/>
      <c r="I69" s="8"/>
      <c r="J69" s="8"/>
    </row>
    <row r="70" spans="1:10" ht="15.75" thickBot="1" x14ac:dyDescent="0.3">
      <c r="G70" s="8"/>
      <c r="H70" s="8"/>
      <c r="I70" s="8"/>
      <c r="J70" s="8"/>
    </row>
    <row r="71" spans="1:10" ht="15.75" thickBot="1" x14ac:dyDescent="0.3">
      <c r="A71" s="290" t="s">
        <v>193</v>
      </c>
      <c r="B71" s="291"/>
      <c r="C71" s="292"/>
      <c r="G71" s="8"/>
      <c r="H71" s="8"/>
      <c r="I71" s="8"/>
      <c r="J71" s="8"/>
    </row>
    <row r="72" spans="1:10" ht="15.75" thickBot="1" x14ac:dyDescent="0.3">
      <c r="G72" s="8"/>
      <c r="H72" s="8"/>
      <c r="I72" s="8"/>
      <c r="J72" s="8"/>
    </row>
    <row r="73" spans="1:10" x14ac:dyDescent="0.25">
      <c r="A73" s="155" t="s">
        <v>194</v>
      </c>
      <c r="B73" s="156">
        <f>B64</f>
        <v>287.15661479701902</v>
      </c>
      <c r="C73" s="157" t="s">
        <v>195</v>
      </c>
      <c r="E73" t="s">
        <v>196</v>
      </c>
    </row>
    <row r="74" spans="1:10" ht="15.75" thickBot="1" x14ac:dyDescent="0.3">
      <c r="A74" s="158" t="s">
        <v>197</v>
      </c>
      <c r="B74" s="159">
        <f>G64</f>
        <v>197.26463422677875</v>
      </c>
      <c r="C74" s="160" t="s">
        <v>164</v>
      </c>
    </row>
    <row r="75" spans="1:10" ht="15.75" thickBot="1" x14ac:dyDescent="0.3"/>
    <row r="76" spans="1:10" x14ac:dyDescent="0.25">
      <c r="A76" s="155" t="s">
        <v>194</v>
      </c>
      <c r="B76" s="156">
        <f>B65</f>
        <v>275.46284089446368</v>
      </c>
      <c r="C76" s="157" t="s">
        <v>195</v>
      </c>
    </row>
    <row r="77" spans="1:10" ht="15.75" thickBot="1" x14ac:dyDescent="0.3">
      <c r="A77" s="158" t="s">
        <v>197</v>
      </c>
      <c r="B77" s="159">
        <f>F65</f>
        <v>1709.2088039478306</v>
      </c>
      <c r="C77" s="160" t="s">
        <v>164</v>
      </c>
    </row>
    <row r="78" spans="1:10" x14ac:dyDescent="0.25">
      <c r="A78" s="8"/>
      <c r="B78" s="38"/>
    </row>
    <row r="79" spans="1:10" x14ac:dyDescent="0.25">
      <c r="A79" s="8"/>
      <c r="B79" s="38"/>
    </row>
    <row r="104" spans="1:8" ht="15.75" thickBot="1" x14ac:dyDescent="0.3"/>
    <row r="105" spans="1:8" ht="15.75" thickBot="1" x14ac:dyDescent="0.3">
      <c r="A105" s="251" t="s">
        <v>198</v>
      </c>
      <c r="B105" s="280"/>
      <c r="C105" s="280"/>
      <c r="D105" s="280"/>
      <c r="E105" s="281"/>
    </row>
    <row r="108" spans="1:8" ht="15.75" thickBot="1" x14ac:dyDescent="0.3"/>
    <row r="109" spans="1:8" ht="15.75" thickBot="1" x14ac:dyDescent="0.3">
      <c r="A109" s="18"/>
      <c r="B109" s="77" t="s">
        <v>206</v>
      </c>
      <c r="C109" s="77" t="s">
        <v>205</v>
      </c>
      <c r="D109" s="77" t="s">
        <v>199</v>
      </c>
      <c r="E109" s="77" t="s">
        <v>200</v>
      </c>
      <c r="F109" s="77" t="s">
        <v>201</v>
      </c>
      <c r="G109" s="19" t="s">
        <v>210</v>
      </c>
    </row>
    <row r="110" spans="1:8" ht="15.75" thickBot="1" x14ac:dyDescent="0.3">
      <c r="A110" s="5" t="s">
        <v>123</v>
      </c>
      <c r="B110" s="143">
        <f>'carichi unitari'!$E$119*'carichi unitari'!$B$115^2/10</f>
        <v>140.03997120000002</v>
      </c>
      <c r="C110" s="176">
        <f t="shared" ref="C110:C115" si="14">H48</f>
        <v>31.415167751750637</v>
      </c>
      <c r="D110" s="176">
        <f t="shared" ref="D110:D115" si="15">B110+C110</f>
        <v>171.45513895175065</v>
      </c>
      <c r="E110" s="179">
        <v>25</v>
      </c>
      <c r="F110" s="179">
        <v>0.3</v>
      </c>
      <c r="G110" s="84">
        <f t="shared" ref="G110:G115" si="16">0.018*SQRT(D110/F110)</f>
        <v>0.43031564004564216</v>
      </c>
      <c r="H110" s="180" t="s">
        <v>209</v>
      </c>
    </row>
    <row r="111" spans="1:8" ht="15.75" thickBot="1" x14ac:dyDescent="0.3">
      <c r="A111" s="5">
        <v>5</v>
      </c>
      <c r="B111" s="161">
        <f>'carichi unitari'!$E$119*'carichi unitari'!$B$115^2/10</f>
        <v>140.03997120000002</v>
      </c>
      <c r="C111" s="177">
        <f t="shared" si="14"/>
        <v>79.464571150076026</v>
      </c>
      <c r="D111" s="177">
        <f t="shared" si="15"/>
        <v>219.50454235007606</v>
      </c>
      <c r="E111" s="14">
        <v>25</v>
      </c>
      <c r="F111" s="14">
        <v>0.3</v>
      </c>
      <c r="G111" s="84">
        <f t="shared" si="16"/>
        <v>0.48689311531185381</v>
      </c>
      <c r="H111" s="180" t="s">
        <v>208</v>
      </c>
    </row>
    <row r="112" spans="1:8" ht="15.75" thickBot="1" x14ac:dyDescent="0.3">
      <c r="A112" s="5">
        <v>4</v>
      </c>
      <c r="B112" s="161">
        <f>'carichi unitari'!$E$119*'carichi unitari'!$B$115^2/10</f>
        <v>140.03997120000002</v>
      </c>
      <c r="C112" s="177">
        <f t="shared" si="14"/>
        <v>116.746229679995</v>
      </c>
      <c r="D112" s="177">
        <f t="shared" si="15"/>
        <v>256.78620087999502</v>
      </c>
      <c r="E112" s="14">
        <v>25</v>
      </c>
      <c r="F112" s="14">
        <v>0.3</v>
      </c>
      <c r="G112" s="84">
        <f t="shared" si="16"/>
        <v>0.52662044866335622</v>
      </c>
      <c r="H112" s="180" t="s">
        <v>208</v>
      </c>
    </row>
    <row r="113" spans="1:8" ht="15.75" thickBot="1" x14ac:dyDescent="0.3">
      <c r="A113" s="5">
        <v>3</v>
      </c>
      <c r="B113" s="161">
        <f>'carichi unitari'!$E$119*'carichi unitari'!$B$115^2/10</f>
        <v>140.03997120000002</v>
      </c>
      <c r="C113" s="177">
        <f t="shared" si="14"/>
        <v>153.89571359025271</v>
      </c>
      <c r="D113" s="177">
        <f t="shared" si="15"/>
        <v>293.93568479025271</v>
      </c>
      <c r="E113" s="14">
        <v>25</v>
      </c>
      <c r="F113" s="14">
        <v>0.3</v>
      </c>
      <c r="G113" s="84">
        <f t="shared" si="16"/>
        <v>0.56342749273839388</v>
      </c>
      <c r="H113" s="180" t="s">
        <v>207</v>
      </c>
    </row>
    <row r="114" spans="1:8" ht="15.75" thickBot="1" x14ac:dyDescent="0.3">
      <c r="A114" s="5">
        <v>2</v>
      </c>
      <c r="B114" s="161">
        <f>'carichi unitari'!$E$119*'carichi unitari'!$B$115^2/10</f>
        <v>140.03997120000002</v>
      </c>
      <c r="C114" s="177">
        <f t="shared" si="14"/>
        <v>180.91775890758944</v>
      </c>
      <c r="D114" s="177">
        <f t="shared" si="15"/>
        <v>320.95773010758944</v>
      </c>
      <c r="E114" s="14">
        <v>25</v>
      </c>
      <c r="F114" s="14">
        <v>0.3</v>
      </c>
      <c r="G114" s="84">
        <f t="shared" si="16"/>
        <v>0.58875661229084864</v>
      </c>
      <c r="H114" s="180" t="s">
        <v>207</v>
      </c>
    </row>
    <row r="115" spans="1:8" ht="15.75" thickBot="1" x14ac:dyDescent="0.3">
      <c r="A115" s="12" t="s">
        <v>202</v>
      </c>
      <c r="B115" s="175">
        <f>'carichi unitari'!$E$119*'carichi unitari'!$B$115^2/10</f>
        <v>140.03997120000002</v>
      </c>
      <c r="C115" s="178">
        <f t="shared" si="14"/>
        <v>187.53981856382757</v>
      </c>
      <c r="D115" s="178">
        <f t="shared" si="15"/>
        <v>327.57978976382759</v>
      </c>
      <c r="E115" s="20">
        <v>25</v>
      </c>
      <c r="F115" s="20">
        <v>0.3</v>
      </c>
      <c r="G115" s="83">
        <f t="shared" si="16"/>
        <v>0.59479927113685493</v>
      </c>
      <c r="H115" s="180" t="s">
        <v>207</v>
      </c>
    </row>
  </sheetData>
  <mergeCells count="7">
    <mergeCell ref="A105:E105"/>
    <mergeCell ref="A8:D8"/>
    <mergeCell ref="A22:E22"/>
    <mergeCell ref="E36:H36"/>
    <mergeCell ref="E46:H46"/>
    <mergeCell ref="A57:G57"/>
    <mergeCell ref="A71:C7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"/>
  <sheetViews>
    <sheetView topLeftCell="A18" zoomScale="90" zoomScaleNormal="90" workbookViewId="0">
      <selection activeCell="F26" sqref="F26:F31"/>
    </sheetView>
  </sheetViews>
  <sheetFormatPr defaultRowHeight="15" x14ac:dyDescent="0.25"/>
  <cols>
    <col min="1" max="11" width="25.7109375" customWidth="1"/>
    <col min="12" max="12" width="25.28515625" customWidth="1"/>
    <col min="13" max="13" width="6.42578125" customWidth="1"/>
    <col min="14" max="14" width="21.7109375" customWidth="1"/>
    <col min="15" max="15" width="16.140625" customWidth="1"/>
    <col min="16" max="16" width="18.42578125" customWidth="1"/>
  </cols>
  <sheetData>
    <row r="1" spans="1:15" x14ac:dyDescent="0.25">
      <c r="A1" s="109" t="s">
        <v>141</v>
      </c>
      <c r="B1" s="110" t="s">
        <v>142</v>
      </c>
      <c r="C1" s="109" t="s">
        <v>143</v>
      </c>
      <c r="D1" s="109" t="s">
        <v>144</v>
      </c>
      <c r="E1" s="109" t="s">
        <v>145</v>
      </c>
      <c r="F1" s="109" t="s">
        <v>146</v>
      </c>
    </row>
    <row r="2" spans="1:15" x14ac:dyDescent="0.25">
      <c r="A2" s="162" t="s">
        <v>123</v>
      </c>
      <c r="B2" s="16">
        <v>2.7</v>
      </c>
      <c r="C2" s="16">
        <v>370.04</v>
      </c>
      <c r="D2" s="16">
        <v>8</v>
      </c>
      <c r="E2" s="42">
        <f t="shared" ref="E2:E7" si="0">C2*D2</f>
        <v>2960.32</v>
      </c>
      <c r="F2" s="42">
        <f t="shared" ref="F2:F7" si="1">E2/9.81</f>
        <v>301.76554536187564</v>
      </c>
    </row>
    <row r="3" spans="1:15" x14ac:dyDescent="0.25">
      <c r="A3" s="162">
        <v>5</v>
      </c>
      <c r="B3" s="16">
        <v>3.2</v>
      </c>
      <c r="C3" s="16">
        <v>355.65</v>
      </c>
      <c r="D3" s="16">
        <v>10</v>
      </c>
      <c r="E3" s="42">
        <f t="shared" si="0"/>
        <v>3556.5</v>
      </c>
      <c r="F3" s="42">
        <f t="shared" si="1"/>
        <v>362.53822629969414</v>
      </c>
    </row>
    <row r="4" spans="1:15" x14ac:dyDescent="0.25">
      <c r="A4" s="162">
        <v>4</v>
      </c>
      <c r="B4" s="16">
        <v>3.2</v>
      </c>
      <c r="C4" s="16">
        <v>355.65</v>
      </c>
      <c r="D4" s="16">
        <v>10</v>
      </c>
      <c r="E4" s="42">
        <f t="shared" si="0"/>
        <v>3556.5</v>
      </c>
      <c r="F4" s="42">
        <f t="shared" si="1"/>
        <v>362.53822629969414</v>
      </c>
    </row>
    <row r="5" spans="1:15" x14ac:dyDescent="0.25">
      <c r="A5" s="162">
        <v>3</v>
      </c>
      <c r="B5" s="16">
        <v>3.2</v>
      </c>
      <c r="C5" s="16">
        <v>355.65</v>
      </c>
      <c r="D5" s="16">
        <v>10</v>
      </c>
      <c r="E5" s="42">
        <f t="shared" si="0"/>
        <v>3556.5</v>
      </c>
      <c r="F5" s="42">
        <f t="shared" si="1"/>
        <v>362.53822629969414</v>
      </c>
    </row>
    <row r="6" spans="1:15" x14ac:dyDescent="0.25">
      <c r="A6" s="162">
        <v>2</v>
      </c>
      <c r="B6" s="16">
        <v>3.2</v>
      </c>
      <c r="C6" s="16">
        <v>355.65</v>
      </c>
      <c r="D6" s="16">
        <v>10</v>
      </c>
      <c r="E6" s="42">
        <f>C6*D6</f>
        <v>3556.5</v>
      </c>
      <c r="F6" s="42">
        <f t="shared" si="1"/>
        <v>362.53822629969414</v>
      </c>
      <c r="H6" s="214"/>
      <c r="I6" s="214"/>
    </row>
    <row r="7" spans="1:15" ht="15.75" thickBot="1" x14ac:dyDescent="0.3">
      <c r="A7" s="162" t="s">
        <v>202</v>
      </c>
      <c r="B7" s="59">
        <v>3.7</v>
      </c>
      <c r="C7" s="59">
        <v>329.24</v>
      </c>
      <c r="D7" s="59">
        <v>10</v>
      </c>
      <c r="E7" s="67">
        <f t="shared" si="0"/>
        <v>3292.4</v>
      </c>
      <c r="F7" s="67">
        <f t="shared" si="1"/>
        <v>335.61671763506627</v>
      </c>
    </row>
    <row r="8" spans="1:15" ht="15.75" thickBot="1" x14ac:dyDescent="0.3">
      <c r="A8" s="272" t="s">
        <v>17</v>
      </c>
      <c r="B8" s="282"/>
      <c r="C8" s="282"/>
      <c r="D8" s="273"/>
      <c r="E8" s="111">
        <f>SUM(E2:E7)</f>
        <v>20478.72</v>
      </c>
      <c r="F8" s="112">
        <f>SUM(F2:F6)</f>
        <v>1751.918450560652</v>
      </c>
    </row>
    <row r="10" spans="1:15" ht="15.75" thickBot="1" x14ac:dyDescent="0.3">
      <c r="A10" s="8"/>
      <c r="B10" s="8"/>
    </row>
    <row r="11" spans="1:15" ht="15.75" thickBot="1" x14ac:dyDescent="0.3">
      <c r="A11" s="53" t="s">
        <v>149</v>
      </c>
      <c r="B11" s="26">
        <v>7.4999999999999997E-2</v>
      </c>
      <c r="F11" s="77" t="s">
        <v>150</v>
      </c>
      <c r="G11" s="164">
        <v>18</v>
      </c>
      <c r="O11" s="113"/>
    </row>
    <row r="12" spans="1:15" ht="15.75" thickBot="1" x14ac:dyDescent="0.3">
      <c r="A12" s="49" t="s">
        <v>151</v>
      </c>
      <c r="B12" s="17">
        <f>SUM(B2:B7)</f>
        <v>19.2</v>
      </c>
      <c r="F12" s="12" t="s">
        <v>152</v>
      </c>
      <c r="G12" s="20" t="s">
        <v>154</v>
      </c>
      <c r="I12" t="s">
        <v>203</v>
      </c>
      <c r="J12">
        <v>6</v>
      </c>
    </row>
    <row r="13" spans="1:15" ht="15.75" thickBot="1" x14ac:dyDescent="0.3">
      <c r="A13" s="49" t="s">
        <v>153</v>
      </c>
      <c r="B13" s="47">
        <f>0.82</f>
        <v>0.82</v>
      </c>
      <c r="E13" s="165" t="s">
        <v>123</v>
      </c>
      <c r="F13" s="167">
        <f>rigidezza!J147</f>
        <v>6.5003026458471176</v>
      </c>
      <c r="G13" s="167">
        <f>rigidezza!K147</f>
        <v>8.8789855157846418</v>
      </c>
    </row>
    <row r="14" spans="1:15" ht="15.75" thickBot="1" x14ac:dyDescent="0.3">
      <c r="A14" s="49" t="s">
        <v>155</v>
      </c>
      <c r="B14" s="101">
        <v>0.10195235386614637</v>
      </c>
      <c r="E14" s="166">
        <v>5</v>
      </c>
      <c r="F14" s="168">
        <f>rigidezza!J148</f>
        <v>10.237406502704388</v>
      </c>
      <c r="G14" s="168">
        <f>rigidezza!K148</f>
        <v>9.7377763779379798</v>
      </c>
    </row>
    <row r="15" spans="1:15" ht="15.75" thickBot="1" x14ac:dyDescent="0.3">
      <c r="A15" s="49" t="s">
        <v>156</v>
      </c>
      <c r="B15" s="101">
        <v>7.042019413079062E-2</v>
      </c>
      <c r="E15" s="166">
        <v>4</v>
      </c>
      <c r="F15" s="168">
        <f>rigidezza!J149</f>
        <v>10.092419219137645</v>
      </c>
      <c r="G15" s="168">
        <f>rigidezza!K149</f>
        <v>9.6129000680137722</v>
      </c>
    </row>
    <row r="16" spans="1:15" ht="15.75" thickBot="1" x14ac:dyDescent="0.3">
      <c r="A16" s="114" t="s">
        <v>157</v>
      </c>
      <c r="B16" s="17">
        <v>1.3</v>
      </c>
      <c r="E16" s="166">
        <v>3</v>
      </c>
      <c r="F16" s="168">
        <f>rigidezza!J150</f>
        <v>9.932900820871108</v>
      </c>
      <c r="G16" s="168">
        <f>rigidezza!K150</f>
        <v>9.5016890745627798</v>
      </c>
    </row>
    <row r="17" spans="1:11" ht="15.75" thickBot="1" x14ac:dyDescent="0.3">
      <c r="A17" s="114" t="s">
        <v>158</v>
      </c>
      <c r="B17" s="17">
        <f>4.5*B16</f>
        <v>5.8500000000000005</v>
      </c>
      <c r="C17" s="163" t="s">
        <v>159</v>
      </c>
      <c r="E17" s="166">
        <v>2</v>
      </c>
      <c r="F17" s="168">
        <f>rigidezza!J151</f>
        <v>9.932900820871108</v>
      </c>
      <c r="G17" s="168">
        <f>rigidezza!K151</f>
        <v>9.5016890745627798</v>
      </c>
    </row>
    <row r="18" spans="1:11" ht="15.75" thickBot="1" x14ac:dyDescent="0.3">
      <c r="A18" s="114" t="s">
        <v>160</v>
      </c>
      <c r="B18" s="17">
        <v>1</v>
      </c>
      <c r="E18" s="166" t="s">
        <v>202</v>
      </c>
      <c r="F18" s="168">
        <f>rigidezza!J152</f>
        <v>10.100530456468983</v>
      </c>
      <c r="G18" s="168">
        <f>rigidezza!K152</f>
        <v>9.9353954002712452</v>
      </c>
    </row>
    <row r="19" spans="1:11" ht="15.75" thickBot="1" x14ac:dyDescent="0.3">
      <c r="A19" s="115" t="s">
        <v>161</v>
      </c>
      <c r="B19" s="28">
        <f>B17*B18</f>
        <v>5.8500000000000005</v>
      </c>
      <c r="F19" s="145"/>
    </row>
    <row r="20" spans="1:11" x14ac:dyDescent="0.25">
      <c r="D20" s="214"/>
      <c r="E20" s="214"/>
    </row>
    <row r="21" spans="1:11" ht="15.75" thickBot="1" x14ac:dyDescent="0.3"/>
    <row r="22" spans="1:11" ht="15.75" thickBot="1" x14ac:dyDescent="0.3">
      <c r="A22" s="283" t="s">
        <v>162</v>
      </c>
      <c r="B22" s="284"/>
      <c r="C22" s="284"/>
      <c r="D22" s="284"/>
      <c r="E22" s="285"/>
    </row>
    <row r="23" spans="1:11" ht="15.75" customHeight="1" thickBot="1" x14ac:dyDescent="0.3">
      <c r="A23" s="116" t="s">
        <v>163</v>
      </c>
      <c r="B23" s="117">
        <f>0.85*E8*B15</f>
        <v>1225.7981222575888</v>
      </c>
      <c r="C23" t="s">
        <v>164</v>
      </c>
    </row>
    <row r="24" spans="1:11" ht="15.75" thickBot="1" x14ac:dyDescent="0.3"/>
    <row r="25" spans="1:11" x14ac:dyDescent="0.25">
      <c r="B25" s="118" t="s">
        <v>165</v>
      </c>
      <c r="C25" s="119" t="s">
        <v>166</v>
      </c>
      <c r="D25" s="119" t="s">
        <v>167</v>
      </c>
      <c r="E25" s="119" t="s">
        <v>168</v>
      </c>
      <c r="F25" s="119" t="s">
        <v>169</v>
      </c>
      <c r="G25" s="119" t="s">
        <v>170</v>
      </c>
      <c r="H25" s="120" t="s">
        <v>171</v>
      </c>
      <c r="I25" s="120" t="s">
        <v>172</v>
      </c>
      <c r="J25" s="120" t="s">
        <v>173</v>
      </c>
      <c r="K25" s="121" t="s">
        <v>174</v>
      </c>
    </row>
    <row r="26" spans="1:11" x14ac:dyDescent="0.25">
      <c r="B26" s="105">
        <f>B27+B2</f>
        <v>19.2</v>
      </c>
      <c r="C26" s="42">
        <f t="shared" ref="C26:C31" si="2">E2*B26</f>
        <v>56838.144</v>
      </c>
      <c r="D26" s="42">
        <f t="shared" ref="D26:D31" si="3">(C26*$B$23)/$C$33</f>
        <v>295.89246724719607</v>
      </c>
      <c r="E26" s="42">
        <f>D26</f>
        <v>295.89246724719607</v>
      </c>
      <c r="F26" s="42">
        <f t="shared" ref="F26:F31" si="4">E26/G13</f>
        <v>33.325030964536701</v>
      </c>
      <c r="G26" s="42">
        <f>0.5*F26*B2</f>
        <v>44.988791802124553</v>
      </c>
      <c r="H26" s="42">
        <f>G26/2</f>
        <v>22.494395901062276</v>
      </c>
      <c r="I26" s="42">
        <f t="shared" ref="I26:I31" si="5">H26/$J$12</f>
        <v>3.7490659835103792</v>
      </c>
      <c r="J26" s="42">
        <f t="shared" ref="J26:J31" si="6">2*I26</f>
        <v>7.4981319670207585</v>
      </c>
      <c r="K26" s="47">
        <f>J26</f>
        <v>7.4981319670207585</v>
      </c>
    </row>
    <row r="27" spans="1:11" x14ac:dyDescent="0.25">
      <c r="B27" s="105">
        <f>B28+B3</f>
        <v>16.5</v>
      </c>
      <c r="C27" s="42">
        <f t="shared" si="2"/>
        <v>58682.25</v>
      </c>
      <c r="D27" s="42">
        <f t="shared" si="3"/>
        <v>305.49265887564468</v>
      </c>
      <c r="E27" s="42">
        <f>E26+D27</f>
        <v>601.3851261228408</v>
      </c>
      <c r="F27" s="42">
        <f t="shared" si="4"/>
        <v>61.757951998707426</v>
      </c>
      <c r="G27" s="42">
        <f>0.5*F27*B3</f>
        <v>98.812723197931888</v>
      </c>
      <c r="H27" s="42">
        <f>(G26+G27)/2</f>
        <v>71.90075750002822</v>
      </c>
      <c r="I27" s="42">
        <f t="shared" si="5"/>
        <v>11.983459583338037</v>
      </c>
      <c r="J27" s="42">
        <f t="shared" si="6"/>
        <v>23.966919166676075</v>
      </c>
      <c r="K27" s="47">
        <f>K26+J27</f>
        <v>31.465051133696832</v>
      </c>
    </row>
    <row r="28" spans="1:11" x14ac:dyDescent="0.25">
      <c r="B28" s="105">
        <f>B29+B4</f>
        <v>13.3</v>
      </c>
      <c r="C28" s="42">
        <f t="shared" si="2"/>
        <v>47301.450000000004</v>
      </c>
      <c r="D28" s="42">
        <f t="shared" si="3"/>
        <v>246.24559776036816</v>
      </c>
      <c r="E28" s="42">
        <f>E27+D28</f>
        <v>847.63072388320893</v>
      </c>
      <c r="F28" s="42">
        <f t="shared" si="4"/>
        <v>88.176379436590494</v>
      </c>
      <c r="G28" s="42">
        <f>0.5*F28*B4</f>
        <v>141.08220709854479</v>
      </c>
      <c r="H28" s="42">
        <f>(G27+G28)/2</f>
        <v>119.94746514823834</v>
      </c>
      <c r="I28" s="42">
        <f t="shared" si="5"/>
        <v>19.991244191373056</v>
      </c>
      <c r="J28" s="42">
        <f t="shared" si="6"/>
        <v>39.982488382746112</v>
      </c>
      <c r="K28" s="47">
        <f>K27+J28</f>
        <v>71.447539516442944</v>
      </c>
    </row>
    <row r="29" spans="1:11" x14ac:dyDescent="0.25">
      <c r="B29" s="105">
        <f>B30+B5</f>
        <v>10.100000000000001</v>
      </c>
      <c r="C29" s="42">
        <f t="shared" si="2"/>
        <v>35920.65</v>
      </c>
      <c r="D29" s="42">
        <f t="shared" si="3"/>
        <v>186.9985366450916</v>
      </c>
      <c r="E29" s="42">
        <f>E28+D29</f>
        <v>1034.6292605283006</v>
      </c>
      <c r="F29" s="42">
        <f t="shared" si="4"/>
        <v>108.8889830438815</v>
      </c>
      <c r="G29" s="42">
        <f>0.5*F29*B5</f>
        <v>174.22237287021039</v>
      </c>
      <c r="H29" s="42">
        <f>(G28+G29)/2</f>
        <v>157.6522899843776</v>
      </c>
      <c r="I29" s="42">
        <f t="shared" si="5"/>
        <v>26.275381664062934</v>
      </c>
      <c r="J29" s="42">
        <f t="shared" si="6"/>
        <v>52.550763328125868</v>
      </c>
      <c r="K29" s="47">
        <f>K28+J29</f>
        <v>123.99830284456881</v>
      </c>
    </row>
    <row r="30" spans="1:11" ht="15.75" thickBot="1" x14ac:dyDescent="0.3">
      <c r="B30" s="105">
        <f>B31+B6</f>
        <v>6.9</v>
      </c>
      <c r="C30" s="42">
        <f t="shared" si="2"/>
        <v>24539.850000000002</v>
      </c>
      <c r="D30" s="42">
        <f t="shared" si="3"/>
        <v>127.75147552981507</v>
      </c>
      <c r="E30" s="42">
        <f>E29+D30</f>
        <v>1162.3807360581156</v>
      </c>
      <c r="F30" s="42">
        <f t="shared" si="4"/>
        <v>122.33411627517422</v>
      </c>
      <c r="G30" s="42">
        <f>0.5*F30*B6</f>
        <v>195.73458604027877</v>
      </c>
      <c r="H30" s="42">
        <f>(G29+G30)/2</f>
        <v>184.97847945524458</v>
      </c>
      <c r="I30" s="42">
        <f t="shared" si="5"/>
        <v>30.829746575874097</v>
      </c>
      <c r="J30" s="42">
        <f t="shared" si="6"/>
        <v>61.659493151748194</v>
      </c>
      <c r="K30" s="47">
        <f>K29+J30</f>
        <v>185.65779599631702</v>
      </c>
    </row>
    <row r="31" spans="1:11" ht="15.75" thickBot="1" x14ac:dyDescent="0.3">
      <c r="A31" s="122" t="s">
        <v>175</v>
      </c>
      <c r="B31" s="123">
        <v>3.7</v>
      </c>
      <c r="C31" s="36">
        <f t="shared" si="2"/>
        <v>12181.880000000001</v>
      </c>
      <c r="D31" s="42">
        <f t="shared" si="3"/>
        <v>63.417386199473242</v>
      </c>
      <c r="E31" s="36">
        <f>E30+D31</f>
        <v>1225.7981222575888</v>
      </c>
      <c r="F31" s="42">
        <f t="shared" si="4"/>
        <v>123.37688364411983</v>
      </c>
      <c r="G31" s="36">
        <f>0.4*F31*B7</f>
        <v>182.59778779329736</v>
      </c>
      <c r="H31" s="36">
        <f>(G30+G31)/2</f>
        <v>189.16618691678806</v>
      </c>
      <c r="I31" s="42">
        <f t="shared" si="5"/>
        <v>31.527697819464677</v>
      </c>
      <c r="J31" s="42">
        <f t="shared" si="6"/>
        <v>63.055395638929355</v>
      </c>
      <c r="K31" s="47">
        <f>K30+J31</f>
        <v>248.71319163524637</v>
      </c>
    </row>
    <row r="32" spans="1:11" ht="15.75" thickBot="1" x14ac:dyDescent="0.3">
      <c r="A32" s="124" t="s">
        <v>176</v>
      </c>
      <c r="G32" s="60">
        <f>0.6*F31*B7</f>
        <v>273.89668168994598</v>
      </c>
    </row>
    <row r="33" spans="1:9" ht="15.75" thickBot="1" x14ac:dyDescent="0.3">
      <c r="A33" s="125" t="s">
        <v>17</v>
      </c>
      <c r="B33" s="126"/>
      <c r="C33" s="127">
        <f>SUM(C26:C31)</f>
        <v>235464.22400000002</v>
      </c>
      <c r="D33" s="127">
        <f>SUM(D26:D31)</f>
        <v>1225.7981222575888</v>
      </c>
      <c r="E33" s="128">
        <f>SUM(E26:E31)</f>
        <v>5167.7164360972511</v>
      </c>
    </row>
    <row r="34" spans="1:9" x14ac:dyDescent="0.25">
      <c r="A34" s="8"/>
      <c r="B34" s="38"/>
      <c r="C34" s="129"/>
      <c r="D34" s="8"/>
    </row>
    <row r="35" spans="1:9" ht="15.75" thickBot="1" x14ac:dyDescent="0.3">
      <c r="A35" s="8"/>
      <c r="B35" s="8"/>
      <c r="C35" s="8"/>
      <c r="D35" s="8"/>
    </row>
    <row r="36" spans="1:9" ht="15.75" thickBot="1" x14ac:dyDescent="0.3">
      <c r="E36" s="286" t="s">
        <v>177</v>
      </c>
      <c r="F36" s="280"/>
      <c r="G36" s="280"/>
      <c r="H36" s="281"/>
      <c r="I36" s="130"/>
    </row>
    <row r="37" spans="1:9" ht="15.75" thickBot="1" x14ac:dyDescent="0.3">
      <c r="E37" s="53" t="s">
        <v>178</v>
      </c>
      <c r="F37" s="54" t="s">
        <v>169</v>
      </c>
      <c r="G37" s="54" t="s">
        <v>170</v>
      </c>
      <c r="H37" s="55" t="s">
        <v>171</v>
      </c>
    </row>
    <row r="38" spans="1:9" x14ac:dyDescent="0.25">
      <c r="D38" s="131" t="s">
        <v>123</v>
      </c>
      <c r="E38" s="132">
        <f t="shared" ref="E38:G44" si="7">E26</f>
        <v>295.89246724719607</v>
      </c>
      <c r="F38" s="133">
        <f>F26*1.2</f>
        <v>39.990037157444043</v>
      </c>
      <c r="G38" s="133">
        <f>G26*1.2</f>
        <v>53.986550162549463</v>
      </c>
      <c r="H38" s="17">
        <f>H26*1.2</f>
        <v>26.993275081274732</v>
      </c>
    </row>
    <row r="39" spans="1:9" x14ac:dyDescent="0.25">
      <c r="D39" s="134">
        <v>4</v>
      </c>
      <c r="E39" s="132">
        <f t="shared" si="7"/>
        <v>601.3851261228408</v>
      </c>
      <c r="F39" s="133">
        <f>F27*1.2</f>
        <v>74.109542398448909</v>
      </c>
      <c r="G39" s="133">
        <f t="shared" si="7"/>
        <v>98.812723197931888</v>
      </c>
      <c r="H39" s="17">
        <f>H27*1.2</f>
        <v>86.280909000033859</v>
      </c>
    </row>
    <row r="40" spans="1:9" x14ac:dyDescent="0.25">
      <c r="D40" s="134">
        <v>3</v>
      </c>
      <c r="E40" s="132">
        <f t="shared" si="7"/>
        <v>847.63072388320893</v>
      </c>
      <c r="F40" s="133">
        <f>F28*1.2</f>
        <v>105.8116553239086</v>
      </c>
      <c r="G40" s="133">
        <f t="shared" si="7"/>
        <v>141.08220709854479</v>
      </c>
      <c r="H40" s="17">
        <f>H28*1.2</f>
        <v>143.936958177886</v>
      </c>
    </row>
    <row r="41" spans="1:9" x14ac:dyDescent="0.25">
      <c r="D41" s="134">
        <v>2</v>
      </c>
      <c r="E41" s="132">
        <f t="shared" si="7"/>
        <v>1034.6292605283006</v>
      </c>
      <c r="F41" s="133">
        <f>F29*1.2</f>
        <v>130.66677965265779</v>
      </c>
      <c r="G41" s="133">
        <f t="shared" si="7"/>
        <v>174.22237287021039</v>
      </c>
      <c r="H41" s="17">
        <f>H29*1.2</f>
        <v>189.18274798125313</v>
      </c>
    </row>
    <row r="42" spans="1:9" x14ac:dyDescent="0.25">
      <c r="D42" s="134">
        <v>1</v>
      </c>
      <c r="E42" s="132">
        <f t="shared" si="7"/>
        <v>1162.3807360581156</v>
      </c>
      <c r="F42" s="133">
        <f>F30*1.2</f>
        <v>146.80093953020906</v>
      </c>
      <c r="G42" s="133">
        <f t="shared" si="7"/>
        <v>195.73458604027877</v>
      </c>
      <c r="H42" s="17">
        <f>H30*1.2</f>
        <v>221.97417534629349</v>
      </c>
    </row>
    <row r="43" spans="1:9" ht="15.75" thickBot="1" x14ac:dyDescent="0.3">
      <c r="D43" s="135" t="s">
        <v>179</v>
      </c>
      <c r="E43" s="132">
        <f t="shared" si="7"/>
        <v>1225.7981222575888</v>
      </c>
      <c r="F43" s="133">
        <f>F31*1.2</f>
        <v>148.05226037294378</v>
      </c>
      <c r="G43" s="136">
        <f t="shared" si="7"/>
        <v>182.59778779329736</v>
      </c>
      <c r="H43" s="17">
        <f>H31*1.2</f>
        <v>226.99942430014568</v>
      </c>
    </row>
    <row r="44" spans="1:9" ht="15.75" thickBot="1" x14ac:dyDescent="0.3">
      <c r="D44" s="137" t="s">
        <v>180</v>
      </c>
      <c r="E44" s="138"/>
      <c r="F44" s="138"/>
      <c r="G44" s="139">
        <f t="shared" si="7"/>
        <v>273.89668168994598</v>
      </c>
      <c r="H44" s="8"/>
    </row>
    <row r="45" spans="1:9" ht="15.75" thickBot="1" x14ac:dyDescent="0.3">
      <c r="E45" s="8"/>
      <c r="F45" s="8"/>
    </row>
    <row r="46" spans="1:9" ht="15.75" thickBot="1" x14ac:dyDescent="0.3">
      <c r="E46" s="287" t="s">
        <v>181</v>
      </c>
      <c r="F46" s="288"/>
      <c r="G46" s="288"/>
      <c r="H46" s="289"/>
    </row>
    <row r="47" spans="1:9" ht="15.75" thickBot="1" x14ac:dyDescent="0.3">
      <c r="E47" s="140" t="s">
        <v>178</v>
      </c>
      <c r="F47" s="141" t="s">
        <v>169</v>
      </c>
      <c r="G47" s="141" t="s">
        <v>170</v>
      </c>
      <c r="H47" s="142" t="s">
        <v>171</v>
      </c>
    </row>
    <row r="48" spans="1:9" x14ac:dyDescent="0.25">
      <c r="D48" s="131" t="s">
        <v>123</v>
      </c>
      <c r="E48" s="143">
        <v>475.61367520889002</v>
      </c>
      <c r="F48" s="38">
        <f t="shared" ref="F48:H53" si="8">F26</f>
        <v>33.325030964536701</v>
      </c>
      <c r="G48" s="38">
        <f t="shared" ref="G48:G53" si="9">G26*1.5</f>
        <v>67.483187703186829</v>
      </c>
      <c r="H48" s="84">
        <f t="shared" si="8"/>
        <v>22.494395901062276</v>
      </c>
    </row>
    <row r="49" spans="1:10" x14ac:dyDescent="0.25">
      <c r="D49" s="134">
        <v>4</v>
      </c>
      <c r="E49" s="143">
        <v>1013.5022063720858</v>
      </c>
      <c r="F49" s="38">
        <f t="shared" si="8"/>
        <v>61.757951998707426</v>
      </c>
      <c r="G49" s="38">
        <f t="shared" si="9"/>
        <v>148.21908479689785</v>
      </c>
      <c r="H49" s="84">
        <f t="shared" si="8"/>
        <v>71.90075750002822</v>
      </c>
    </row>
    <row r="50" spans="1:10" x14ac:dyDescent="0.25">
      <c r="D50" s="134">
        <v>3</v>
      </c>
      <c r="E50" s="143">
        <v>1447.0729617945406</v>
      </c>
      <c r="F50" s="38">
        <f t="shared" si="8"/>
        <v>88.176379436590494</v>
      </c>
      <c r="G50" s="38">
        <f t="shared" si="9"/>
        <v>211.62331064781716</v>
      </c>
      <c r="H50" s="84">
        <f t="shared" si="8"/>
        <v>119.94746514823834</v>
      </c>
    </row>
    <row r="51" spans="1:10" x14ac:dyDescent="0.25">
      <c r="D51" s="134">
        <v>2</v>
      </c>
      <c r="E51" s="143">
        <v>1776.3259414762542</v>
      </c>
      <c r="F51" s="38">
        <f t="shared" si="8"/>
        <v>108.8889830438815</v>
      </c>
      <c r="G51" s="38">
        <f t="shared" si="9"/>
        <v>261.33355930531559</v>
      </c>
      <c r="H51" s="84">
        <f t="shared" si="8"/>
        <v>157.6522899843776</v>
      </c>
    </row>
    <row r="52" spans="1:10" x14ac:dyDescent="0.25">
      <c r="D52" s="134">
        <v>1</v>
      </c>
      <c r="E52" s="143">
        <v>1984.5578170435981</v>
      </c>
      <c r="F52" s="38">
        <f t="shared" si="8"/>
        <v>122.33411627517422</v>
      </c>
      <c r="G52" s="38">
        <f t="shared" si="9"/>
        <v>293.60187906041813</v>
      </c>
      <c r="H52" s="84">
        <f t="shared" si="8"/>
        <v>184.97847945524458</v>
      </c>
    </row>
    <row r="53" spans="1:10" ht="15.75" thickBot="1" x14ac:dyDescent="0.3">
      <c r="D53" s="135" t="s">
        <v>179</v>
      </c>
      <c r="E53" s="144">
        <v>2096.2183879999998</v>
      </c>
      <c r="F53" s="144">
        <f t="shared" si="8"/>
        <v>123.37688364411983</v>
      </c>
      <c r="G53" s="38">
        <f t="shared" si="9"/>
        <v>273.89668168994604</v>
      </c>
      <c r="H53" s="83">
        <f t="shared" si="8"/>
        <v>189.16618691678806</v>
      </c>
    </row>
    <row r="54" spans="1:10" ht="15.75" thickBot="1" x14ac:dyDescent="0.3">
      <c r="D54" s="137" t="s">
        <v>180</v>
      </c>
      <c r="E54" s="145"/>
      <c r="F54" s="145"/>
      <c r="G54" s="146">
        <f>0.6*F53*B7</f>
        <v>273.89668168994598</v>
      </c>
      <c r="H54" s="145"/>
    </row>
    <row r="56" spans="1:10" ht="15.75" thickBot="1" x14ac:dyDescent="0.3"/>
    <row r="57" spans="1:10" ht="15.75" thickBot="1" x14ac:dyDescent="0.3">
      <c r="A57" s="251" t="s">
        <v>182</v>
      </c>
      <c r="B57" s="252"/>
      <c r="C57" s="252"/>
      <c r="D57" s="252"/>
      <c r="E57" s="252"/>
      <c r="F57" s="252"/>
      <c r="G57" s="253"/>
    </row>
    <row r="58" spans="1:10" ht="15.75" thickBot="1" x14ac:dyDescent="0.3">
      <c r="A58" s="103"/>
      <c r="B58" s="103"/>
      <c r="C58" s="103"/>
      <c r="D58" s="103"/>
      <c r="E58" s="103"/>
      <c r="F58" s="103"/>
      <c r="G58" s="103"/>
    </row>
    <row r="59" spans="1:10" ht="15.75" thickBot="1" x14ac:dyDescent="0.3">
      <c r="A59" s="147" t="s">
        <v>120</v>
      </c>
      <c r="B59" s="148" t="s">
        <v>183</v>
      </c>
      <c r="C59" s="148" t="s">
        <v>184</v>
      </c>
      <c r="D59" s="148" t="s">
        <v>185</v>
      </c>
      <c r="E59" s="148" t="s">
        <v>174</v>
      </c>
      <c r="F59" s="148" t="s">
        <v>186</v>
      </c>
      <c r="G59" s="147" t="s">
        <v>187</v>
      </c>
    </row>
    <row r="60" spans="1:10" x14ac:dyDescent="0.25">
      <c r="A60" s="149" t="s">
        <v>123</v>
      </c>
      <c r="B60" s="169">
        <f t="shared" ref="B60:B66" si="10">G48</f>
        <v>67.483187703186829</v>
      </c>
      <c r="C60" s="82">
        <f>'carichi unitari'!B167</f>
        <v>276.54534348000004</v>
      </c>
      <c r="D60" s="82">
        <f>'carichi unitari'!C167</f>
        <v>80.888311980000012</v>
      </c>
      <c r="E60" s="82">
        <f t="shared" ref="E60:E65" si="11">K26</f>
        <v>7.4981319670207585</v>
      </c>
      <c r="F60" s="170">
        <f t="shared" ref="F60:F65" si="12">C60+E60</f>
        <v>284.0434754470208</v>
      </c>
      <c r="G60" s="171">
        <f t="shared" ref="G60:G65" si="13">D60-E60</f>
        <v>73.390180012979258</v>
      </c>
    </row>
    <row r="61" spans="1:10" x14ac:dyDescent="0.25">
      <c r="A61" s="6">
        <v>4</v>
      </c>
      <c r="B61" s="172">
        <f t="shared" si="10"/>
        <v>148.21908479689785</v>
      </c>
      <c r="C61" s="38">
        <f>'carichi unitari'!B168</f>
        <v>291.84314348000004</v>
      </c>
      <c r="D61" s="38">
        <f>'carichi unitari'!C168</f>
        <v>96.186111980000007</v>
      </c>
      <c r="E61" s="38">
        <f t="shared" si="11"/>
        <v>31.465051133696832</v>
      </c>
      <c r="F61" s="150">
        <f t="shared" si="12"/>
        <v>323.30819461369686</v>
      </c>
      <c r="G61" s="151">
        <f t="shared" si="13"/>
        <v>64.721060846303175</v>
      </c>
    </row>
    <row r="62" spans="1:10" x14ac:dyDescent="0.25">
      <c r="A62" s="6">
        <v>3</v>
      </c>
      <c r="B62" s="172">
        <f t="shared" si="10"/>
        <v>211.62331064781716</v>
      </c>
      <c r="C62" s="38">
        <f>'carichi unitari'!B169</f>
        <v>583.68628696000007</v>
      </c>
      <c r="D62" s="38">
        <f>'carichi unitari'!C169</f>
        <v>192.37222396000001</v>
      </c>
      <c r="E62" s="38">
        <f t="shared" si="11"/>
        <v>71.447539516442944</v>
      </c>
      <c r="F62" s="150">
        <f t="shared" si="12"/>
        <v>655.13382647644301</v>
      </c>
      <c r="G62" s="151">
        <f t="shared" si="13"/>
        <v>120.92468444355707</v>
      </c>
    </row>
    <row r="63" spans="1:10" x14ac:dyDescent="0.25">
      <c r="A63" s="6">
        <v>2</v>
      </c>
      <c r="B63" s="172">
        <f t="shared" si="10"/>
        <v>261.33355930531559</v>
      </c>
      <c r="C63" s="38">
        <f>'carichi unitari'!B170</f>
        <v>875.52943044000017</v>
      </c>
      <c r="D63" s="38">
        <f>'carichi unitari'!C170</f>
        <v>288.55833594000001</v>
      </c>
      <c r="E63" s="38">
        <f t="shared" si="11"/>
        <v>123.99830284456881</v>
      </c>
      <c r="F63" s="150">
        <f t="shared" si="12"/>
        <v>999.52773328456897</v>
      </c>
      <c r="G63" s="151">
        <f t="shared" si="13"/>
        <v>164.56003309543121</v>
      </c>
    </row>
    <row r="64" spans="1:10" x14ac:dyDescent="0.25">
      <c r="A64" s="6">
        <v>1</v>
      </c>
      <c r="B64" s="173">
        <f t="shared" si="10"/>
        <v>293.60187906041813</v>
      </c>
      <c r="C64" s="38">
        <f>'carichi unitari'!B171</f>
        <v>1167.3725739200001</v>
      </c>
      <c r="D64" s="38">
        <f>'carichi unitari'!C171</f>
        <v>384.74444792000003</v>
      </c>
      <c r="E64" s="38">
        <f t="shared" si="11"/>
        <v>185.65779599631702</v>
      </c>
      <c r="F64" s="150">
        <f t="shared" si="12"/>
        <v>1353.0303699163171</v>
      </c>
      <c r="G64" s="152">
        <f t="shared" si="13"/>
        <v>199.08665192368301</v>
      </c>
      <c r="I64" s="8"/>
      <c r="J64" s="8"/>
    </row>
    <row r="65" spans="1:10" ht="15.75" thickBot="1" x14ac:dyDescent="0.3">
      <c r="A65" s="149" t="s">
        <v>188</v>
      </c>
      <c r="B65" s="174">
        <f t="shared" si="10"/>
        <v>273.89668168994604</v>
      </c>
      <c r="C65" s="144">
        <f>'carichi unitari'!B172</f>
        <v>1459.2157174000001</v>
      </c>
      <c r="D65" s="144">
        <f>'carichi unitari'!C172</f>
        <v>480.93055990000005</v>
      </c>
      <c r="E65" s="144">
        <f t="shared" si="11"/>
        <v>248.71319163524637</v>
      </c>
      <c r="F65" s="153">
        <f t="shared" si="12"/>
        <v>1707.9289090352465</v>
      </c>
      <c r="G65" s="154">
        <f t="shared" si="13"/>
        <v>232.21736826475367</v>
      </c>
      <c r="I65" s="8"/>
      <c r="J65" s="8"/>
    </row>
    <row r="66" spans="1:10" ht="15.75" thickBot="1" x14ac:dyDescent="0.3">
      <c r="A66" s="13" t="s">
        <v>189</v>
      </c>
      <c r="B66" s="83">
        <f t="shared" si="10"/>
        <v>273.89668168994598</v>
      </c>
      <c r="C66" s="38"/>
      <c r="D66" s="8"/>
      <c r="E66" s="8"/>
      <c r="F66" s="8"/>
      <c r="G66" s="8"/>
    </row>
    <row r="67" spans="1:10" ht="15.75" customHeight="1" thickBot="1" x14ac:dyDescent="0.3">
      <c r="C67" s="8"/>
      <c r="D67" s="8"/>
      <c r="G67" s="8"/>
      <c r="H67" s="8"/>
      <c r="I67" s="8"/>
      <c r="J67" s="8"/>
    </row>
    <row r="68" spans="1:10" ht="15.75" thickBot="1" x14ac:dyDescent="0.3">
      <c r="A68" s="69" t="s">
        <v>190</v>
      </c>
      <c r="B68" s="71">
        <v>391.3</v>
      </c>
      <c r="D68" s="77" t="s">
        <v>191</v>
      </c>
      <c r="E68" s="77">
        <v>30</v>
      </c>
      <c r="G68" s="8"/>
      <c r="H68" s="38"/>
      <c r="I68" s="8"/>
      <c r="J68" s="8"/>
    </row>
    <row r="69" spans="1:10" ht="15.75" thickBot="1" x14ac:dyDescent="0.3">
      <c r="A69" s="12" t="s">
        <v>192</v>
      </c>
      <c r="B69" s="13">
        <v>14.17</v>
      </c>
      <c r="G69" s="8"/>
      <c r="H69" s="8"/>
      <c r="I69" s="8"/>
      <c r="J69" s="8"/>
    </row>
    <row r="70" spans="1:10" ht="15.75" thickBot="1" x14ac:dyDescent="0.3">
      <c r="G70" s="8"/>
      <c r="H70" s="8"/>
      <c r="I70" s="8"/>
      <c r="J70" s="8"/>
    </row>
    <row r="71" spans="1:10" ht="15.75" thickBot="1" x14ac:dyDescent="0.3">
      <c r="A71" s="290" t="s">
        <v>193</v>
      </c>
      <c r="B71" s="291"/>
      <c r="C71" s="292"/>
      <c r="G71" s="8"/>
      <c r="H71" s="8"/>
      <c r="I71" s="8"/>
      <c r="J71" s="8"/>
    </row>
    <row r="72" spans="1:10" ht="15.75" thickBot="1" x14ac:dyDescent="0.3">
      <c r="G72" s="8"/>
      <c r="H72" s="8"/>
      <c r="I72" s="8"/>
      <c r="J72" s="8"/>
    </row>
    <row r="73" spans="1:10" x14ac:dyDescent="0.25">
      <c r="A73" s="155" t="s">
        <v>194</v>
      </c>
      <c r="B73" s="156">
        <f>B64</f>
        <v>293.60187906041813</v>
      </c>
      <c r="C73" s="157" t="s">
        <v>195</v>
      </c>
      <c r="E73" t="s">
        <v>196</v>
      </c>
    </row>
    <row r="74" spans="1:10" ht="15.75" thickBot="1" x14ac:dyDescent="0.3">
      <c r="A74" s="158" t="s">
        <v>197</v>
      </c>
      <c r="B74" s="159">
        <f>G64</f>
        <v>199.08665192368301</v>
      </c>
      <c r="C74" s="160" t="s">
        <v>164</v>
      </c>
    </row>
    <row r="75" spans="1:10" ht="15.75" thickBot="1" x14ac:dyDescent="0.3"/>
    <row r="76" spans="1:10" x14ac:dyDescent="0.25">
      <c r="A76" s="155" t="s">
        <v>194</v>
      </c>
      <c r="B76" s="156">
        <f>B65</f>
        <v>273.89668168994604</v>
      </c>
      <c r="C76" s="157" t="s">
        <v>195</v>
      </c>
    </row>
    <row r="77" spans="1:10" ht="15.75" thickBot="1" x14ac:dyDescent="0.3">
      <c r="A77" s="158" t="s">
        <v>197</v>
      </c>
      <c r="B77" s="159">
        <f>F65</f>
        <v>1707.9289090352465</v>
      </c>
      <c r="C77" s="160" t="s">
        <v>164</v>
      </c>
    </row>
    <row r="78" spans="1:10" x14ac:dyDescent="0.25">
      <c r="A78" s="8"/>
      <c r="B78" s="38"/>
    </row>
    <row r="79" spans="1:10" x14ac:dyDescent="0.25">
      <c r="A79" s="8"/>
      <c r="B79" s="38"/>
    </row>
    <row r="104" spans="1:8" ht="15.75" thickBot="1" x14ac:dyDescent="0.3"/>
    <row r="105" spans="1:8" ht="15.75" thickBot="1" x14ac:dyDescent="0.3">
      <c r="A105" s="251" t="s">
        <v>198</v>
      </c>
      <c r="B105" s="280"/>
      <c r="C105" s="280"/>
      <c r="D105" s="280"/>
      <c r="E105" s="281"/>
    </row>
    <row r="108" spans="1:8" ht="15.75" thickBot="1" x14ac:dyDescent="0.3"/>
    <row r="109" spans="1:8" ht="15.75" thickBot="1" x14ac:dyDescent="0.3">
      <c r="A109" s="18"/>
      <c r="B109" s="77" t="s">
        <v>206</v>
      </c>
      <c r="C109" s="77" t="s">
        <v>205</v>
      </c>
      <c r="D109" s="77" t="s">
        <v>199</v>
      </c>
      <c r="E109" s="77" t="s">
        <v>200</v>
      </c>
      <c r="F109" s="77" t="s">
        <v>201</v>
      </c>
      <c r="G109" s="19" t="s">
        <v>210</v>
      </c>
    </row>
    <row r="110" spans="1:8" ht="15.75" thickBot="1" x14ac:dyDescent="0.3">
      <c r="A110" s="5" t="s">
        <v>123</v>
      </c>
      <c r="B110" s="143">
        <f>'carichi unitari'!$E$119*'carichi unitari'!$B$115^2/10</f>
        <v>140.03997120000002</v>
      </c>
      <c r="C110" s="176">
        <f t="shared" ref="C110:C115" si="14">H48</f>
        <v>22.494395901062276</v>
      </c>
      <c r="D110" s="176">
        <f t="shared" ref="D110:D115" si="15">B110+C110</f>
        <v>162.53436710106229</v>
      </c>
      <c r="E110" s="179">
        <v>25</v>
      </c>
      <c r="F110" s="179">
        <v>0.3</v>
      </c>
      <c r="G110" s="84">
        <f t="shared" ref="G110:G115" si="16">0.018*SQRT(D110/F110)</f>
        <v>0.41897149839714309</v>
      </c>
      <c r="H110" s="180" t="s">
        <v>209</v>
      </c>
    </row>
    <row r="111" spans="1:8" ht="15.75" thickBot="1" x14ac:dyDescent="0.3">
      <c r="A111" s="5">
        <v>5</v>
      </c>
      <c r="B111" s="161">
        <f>'carichi unitari'!$E$119*'carichi unitari'!$B$115^2/10</f>
        <v>140.03997120000002</v>
      </c>
      <c r="C111" s="177">
        <f t="shared" si="14"/>
        <v>71.90075750002822</v>
      </c>
      <c r="D111" s="177">
        <f t="shared" si="15"/>
        <v>211.94072870002825</v>
      </c>
      <c r="E111" s="14">
        <v>25</v>
      </c>
      <c r="F111" s="14">
        <v>0.3</v>
      </c>
      <c r="G111" s="84">
        <f t="shared" si="16"/>
        <v>0.4784307546511099</v>
      </c>
      <c r="H111" s="180" t="s">
        <v>208</v>
      </c>
    </row>
    <row r="112" spans="1:8" ht="15.75" thickBot="1" x14ac:dyDescent="0.3">
      <c r="A112" s="5">
        <v>4</v>
      </c>
      <c r="B112" s="161">
        <f>'carichi unitari'!$E$119*'carichi unitari'!$B$115^2/10</f>
        <v>140.03997120000002</v>
      </c>
      <c r="C112" s="177">
        <f t="shared" si="14"/>
        <v>119.94746514823834</v>
      </c>
      <c r="D112" s="177">
        <f t="shared" si="15"/>
        <v>259.98743634823836</v>
      </c>
      <c r="E112" s="14">
        <v>25</v>
      </c>
      <c r="F112" s="14">
        <v>0.3</v>
      </c>
      <c r="G112" s="84">
        <f t="shared" si="16"/>
        <v>0.52989284884408228</v>
      </c>
      <c r="H112" s="180" t="s">
        <v>208</v>
      </c>
    </row>
    <row r="113" spans="1:8" ht="15.75" thickBot="1" x14ac:dyDescent="0.3">
      <c r="A113" s="5">
        <v>3</v>
      </c>
      <c r="B113" s="161">
        <f>'carichi unitari'!$E$119*'carichi unitari'!$B$115^2/10</f>
        <v>140.03997120000002</v>
      </c>
      <c r="C113" s="177">
        <f t="shared" si="14"/>
        <v>157.6522899843776</v>
      </c>
      <c r="D113" s="177">
        <f t="shared" si="15"/>
        <v>297.69226118437763</v>
      </c>
      <c r="E113" s="14">
        <v>25</v>
      </c>
      <c r="F113" s="14">
        <v>0.3</v>
      </c>
      <c r="G113" s="84">
        <f t="shared" si="16"/>
        <v>0.56701643898490972</v>
      </c>
      <c r="H113" s="180" t="s">
        <v>207</v>
      </c>
    </row>
    <row r="114" spans="1:8" ht="15.75" thickBot="1" x14ac:dyDescent="0.3">
      <c r="A114" s="5">
        <v>2</v>
      </c>
      <c r="B114" s="161">
        <f>'carichi unitari'!$E$119*'carichi unitari'!$B$115^2/10</f>
        <v>140.03997120000002</v>
      </c>
      <c r="C114" s="177">
        <f t="shared" si="14"/>
        <v>184.97847945524458</v>
      </c>
      <c r="D114" s="177">
        <f t="shared" si="15"/>
        <v>325.01845065524458</v>
      </c>
      <c r="E114" s="14">
        <v>25</v>
      </c>
      <c r="F114" s="14">
        <v>0.3</v>
      </c>
      <c r="G114" s="84">
        <f t="shared" si="16"/>
        <v>0.59246934663969253</v>
      </c>
      <c r="H114" s="180" t="s">
        <v>207</v>
      </c>
    </row>
    <row r="115" spans="1:8" ht="15.75" thickBot="1" x14ac:dyDescent="0.3">
      <c r="A115" s="12" t="s">
        <v>202</v>
      </c>
      <c r="B115" s="175">
        <f>'carichi unitari'!$E$119*'carichi unitari'!$B$115^2/10</f>
        <v>140.03997120000002</v>
      </c>
      <c r="C115" s="178">
        <f t="shared" si="14"/>
        <v>189.16618691678806</v>
      </c>
      <c r="D115" s="178">
        <f t="shared" si="15"/>
        <v>329.20615811678806</v>
      </c>
      <c r="E115" s="20">
        <v>25</v>
      </c>
      <c r="F115" s="20">
        <v>0.3</v>
      </c>
      <c r="G115" s="83">
        <f t="shared" si="16"/>
        <v>0.59627397290686024</v>
      </c>
      <c r="H115" s="180" t="s">
        <v>207</v>
      </c>
    </row>
  </sheetData>
  <mergeCells count="7">
    <mergeCell ref="A105:E105"/>
    <mergeCell ref="A8:D8"/>
    <mergeCell ref="A22:E22"/>
    <mergeCell ref="E36:H36"/>
    <mergeCell ref="E46:H46"/>
    <mergeCell ref="A57:G57"/>
    <mergeCell ref="A71:C7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"/>
  <sheetViews>
    <sheetView topLeftCell="A10" workbookViewId="0">
      <selection activeCell="E26" sqref="E26:E31"/>
    </sheetView>
  </sheetViews>
  <sheetFormatPr defaultRowHeight="15" x14ac:dyDescent="0.25"/>
  <cols>
    <col min="1" max="11" width="25.7109375" customWidth="1"/>
    <col min="12" max="12" width="25.28515625" customWidth="1"/>
    <col min="13" max="13" width="6.42578125" customWidth="1"/>
    <col min="14" max="14" width="21.7109375" customWidth="1"/>
    <col min="15" max="15" width="16.140625" customWidth="1"/>
    <col min="16" max="16" width="18.42578125" customWidth="1"/>
  </cols>
  <sheetData>
    <row r="1" spans="1:15" x14ac:dyDescent="0.25">
      <c r="A1" s="109" t="s">
        <v>141</v>
      </c>
      <c r="B1" s="110" t="s">
        <v>142</v>
      </c>
      <c r="C1" s="109" t="s">
        <v>143</v>
      </c>
      <c r="D1" s="109" t="s">
        <v>144</v>
      </c>
      <c r="E1" s="109" t="s">
        <v>145</v>
      </c>
      <c r="F1" s="109" t="s">
        <v>146</v>
      </c>
    </row>
    <row r="2" spans="1:15" x14ac:dyDescent="0.25">
      <c r="A2" s="162" t="s">
        <v>123</v>
      </c>
      <c r="B2" s="16">
        <v>2.7</v>
      </c>
      <c r="C2" s="16">
        <v>370.04</v>
      </c>
      <c r="D2" s="16">
        <v>7.3814487352718636</v>
      </c>
      <c r="E2" s="42">
        <f t="shared" ref="E2:E7" si="0">C2*D2</f>
        <v>2731.4312900000004</v>
      </c>
      <c r="F2" s="42">
        <f t="shared" ref="F2:F7" si="1">E2/9.81</f>
        <v>278.43336289500513</v>
      </c>
    </row>
    <row r="3" spans="1:15" x14ac:dyDescent="0.25">
      <c r="A3" s="162">
        <v>5</v>
      </c>
      <c r="B3" s="16">
        <v>3.2</v>
      </c>
      <c r="C3" s="16">
        <v>355.65</v>
      </c>
      <c r="D3" s="16">
        <v>10.635224255588362</v>
      </c>
      <c r="E3" s="42">
        <f t="shared" si="0"/>
        <v>3782.4175065000009</v>
      </c>
      <c r="F3" s="42">
        <f t="shared" si="1"/>
        <v>385.56753379204901</v>
      </c>
    </row>
    <row r="4" spans="1:15" x14ac:dyDescent="0.25">
      <c r="A4" s="162">
        <v>4</v>
      </c>
      <c r="B4" s="16">
        <v>3.2</v>
      </c>
      <c r="C4" s="16">
        <v>355.65</v>
      </c>
      <c r="D4" s="16">
        <v>10.635224255588362</v>
      </c>
      <c r="E4" s="42">
        <f t="shared" si="0"/>
        <v>3782.4175065000009</v>
      </c>
      <c r="F4" s="42">
        <f t="shared" si="1"/>
        <v>385.56753379204901</v>
      </c>
    </row>
    <row r="5" spans="1:15" x14ac:dyDescent="0.25">
      <c r="A5" s="162">
        <v>3</v>
      </c>
      <c r="B5" s="16">
        <v>3.2</v>
      </c>
      <c r="C5" s="16">
        <v>355.65</v>
      </c>
      <c r="D5" s="16">
        <v>10.931301859974695</v>
      </c>
      <c r="E5" s="42">
        <f t="shared" si="0"/>
        <v>3887.7175065000001</v>
      </c>
      <c r="F5" s="42">
        <f t="shared" si="1"/>
        <v>396.30147874617734</v>
      </c>
    </row>
    <row r="6" spans="1:15" x14ac:dyDescent="0.25">
      <c r="A6" s="162">
        <v>2</v>
      </c>
      <c r="B6" s="16">
        <v>3.2</v>
      </c>
      <c r="C6" s="16">
        <v>355.65</v>
      </c>
      <c r="D6" s="16">
        <v>10.931301859974695</v>
      </c>
      <c r="E6" s="42">
        <f>C6*D6</f>
        <v>3887.7175065000001</v>
      </c>
      <c r="F6" s="42">
        <f t="shared" si="1"/>
        <v>396.30147874617734</v>
      </c>
    </row>
    <row r="7" spans="1:15" ht="15.75" thickBot="1" x14ac:dyDescent="0.3">
      <c r="A7" s="162" t="s">
        <v>202</v>
      </c>
      <c r="B7" s="59">
        <v>3.7</v>
      </c>
      <c r="C7" s="59">
        <v>329.24</v>
      </c>
      <c r="D7" s="59">
        <v>11.522030840724092</v>
      </c>
      <c r="E7" s="67">
        <f t="shared" si="0"/>
        <v>3793.5134340000004</v>
      </c>
      <c r="F7" s="67">
        <f t="shared" si="1"/>
        <v>386.69861712538227</v>
      </c>
    </row>
    <row r="8" spans="1:15" ht="15.75" thickBot="1" x14ac:dyDescent="0.3">
      <c r="A8" s="272" t="s">
        <v>17</v>
      </c>
      <c r="B8" s="282"/>
      <c r="C8" s="282"/>
      <c r="D8" s="273"/>
      <c r="E8" s="111">
        <f>SUM(E2:E7)</f>
        <v>21865.214750000003</v>
      </c>
      <c r="F8" s="112">
        <f>SUM(F2:F6)</f>
        <v>1842.1713879714578</v>
      </c>
    </row>
    <row r="10" spans="1:15" ht="15.75" thickBot="1" x14ac:dyDescent="0.3">
      <c r="A10" s="8"/>
      <c r="B10" s="8"/>
    </row>
    <row r="11" spans="1:15" ht="15.75" thickBot="1" x14ac:dyDescent="0.3">
      <c r="A11" s="53" t="s">
        <v>149</v>
      </c>
      <c r="B11" s="26">
        <v>7.4999999999999997E-2</v>
      </c>
      <c r="F11" s="77" t="s">
        <v>150</v>
      </c>
      <c r="G11" s="164">
        <v>18</v>
      </c>
      <c r="O11" s="113"/>
    </row>
    <row r="12" spans="1:15" ht="15.75" thickBot="1" x14ac:dyDescent="0.3">
      <c r="A12" s="49" t="s">
        <v>151</v>
      </c>
      <c r="B12" s="17">
        <f>SUM(B2:B7)</f>
        <v>19.2</v>
      </c>
      <c r="F12" s="12" t="s">
        <v>152</v>
      </c>
      <c r="G12" s="20" t="s">
        <v>154</v>
      </c>
      <c r="I12" t="s">
        <v>203</v>
      </c>
      <c r="J12">
        <v>6</v>
      </c>
    </row>
    <row r="13" spans="1:15" ht="15.75" thickBot="1" x14ac:dyDescent="0.3">
      <c r="A13" s="49" t="s">
        <v>153</v>
      </c>
      <c r="B13" s="47">
        <f>0.77</f>
        <v>0.77</v>
      </c>
      <c r="E13" s="243" t="s">
        <v>123</v>
      </c>
      <c r="F13" s="167">
        <f>rigidezza!J147</f>
        <v>6.5003026458471176</v>
      </c>
      <c r="G13" s="167">
        <f>rigidezza!K147</f>
        <v>8.8789855157846418</v>
      </c>
    </row>
    <row r="14" spans="1:15" ht="15.75" thickBot="1" x14ac:dyDescent="0.3">
      <c r="A14" s="49" t="s">
        <v>155</v>
      </c>
      <c r="B14" s="101">
        <v>0.10857263658472729</v>
      </c>
      <c r="E14" s="244">
        <v>5</v>
      </c>
      <c r="F14" s="168">
        <f>rigidezza!J148</f>
        <v>10.237406502704388</v>
      </c>
      <c r="G14" s="168">
        <f>rigidezza!K148</f>
        <v>9.7377763779379798</v>
      </c>
    </row>
    <row r="15" spans="1:15" ht="15.75" thickBot="1" x14ac:dyDescent="0.3">
      <c r="A15" s="49" t="s">
        <v>156</v>
      </c>
      <c r="B15" s="101">
        <v>7.499293400941337E-2</v>
      </c>
      <c r="E15" s="244">
        <v>4</v>
      </c>
      <c r="F15" s="168">
        <f>rigidezza!J149</f>
        <v>10.092419219137645</v>
      </c>
      <c r="G15" s="168">
        <f>rigidezza!K149</f>
        <v>9.6129000680137722</v>
      </c>
    </row>
    <row r="16" spans="1:15" ht="15.75" thickBot="1" x14ac:dyDescent="0.3">
      <c r="A16" s="114" t="s">
        <v>157</v>
      </c>
      <c r="B16" s="17">
        <v>1.3</v>
      </c>
      <c r="E16" s="244">
        <v>3</v>
      </c>
      <c r="F16" s="168">
        <f>rigidezza!J150</f>
        <v>9.932900820871108</v>
      </c>
      <c r="G16" s="168">
        <f>rigidezza!K150</f>
        <v>9.5016890745627798</v>
      </c>
    </row>
    <row r="17" spans="1:11" ht="15.75" thickBot="1" x14ac:dyDescent="0.3">
      <c r="A17" s="114" t="s">
        <v>158</v>
      </c>
      <c r="B17" s="17">
        <f>4.5*B16</f>
        <v>5.8500000000000005</v>
      </c>
      <c r="C17" s="163" t="s">
        <v>159</v>
      </c>
      <c r="E17" s="244">
        <v>2</v>
      </c>
      <c r="F17" s="168">
        <f>rigidezza!J151</f>
        <v>9.932900820871108</v>
      </c>
      <c r="G17" s="168">
        <f>rigidezza!K151</f>
        <v>9.5016890745627798</v>
      </c>
    </row>
    <row r="18" spans="1:11" ht="15.75" thickBot="1" x14ac:dyDescent="0.3">
      <c r="A18" s="114" t="s">
        <v>160</v>
      </c>
      <c r="B18" s="17">
        <v>1</v>
      </c>
      <c r="E18" s="244" t="s">
        <v>202</v>
      </c>
      <c r="F18" s="168">
        <f>rigidezza!J152</f>
        <v>10.100530456468983</v>
      </c>
      <c r="G18" s="168">
        <f>rigidezza!K152</f>
        <v>9.9353954002712452</v>
      </c>
    </row>
    <row r="19" spans="1:11" ht="15.75" thickBot="1" x14ac:dyDescent="0.3">
      <c r="A19" s="115" t="s">
        <v>161</v>
      </c>
      <c r="B19" s="28">
        <f>B17*B18</f>
        <v>5.8500000000000005</v>
      </c>
      <c r="F19" s="145"/>
    </row>
    <row r="20" spans="1:11" x14ac:dyDescent="0.25">
      <c r="D20" s="214"/>
      <c r="E20" s="214"/>
    </row>
    <row r="21" spans="1:11" ht="15.75" thickBot="1" x14ac:dyDescent="0.3"/>
    <row r="22" spans="1:11" ht="15.75" thickBot="1" x14ac:dyDescent="0.3">
      <c r="A22" s="283" t="s">
        <v>162</v>
      </c>
      <c r="B22" s="284"/>
      <c r="C22" s="284"/>
      <c r="D22" s="284"/>
      <c r="E22" s="285"/>
    </row>
    <row r="23" spans="1:11" ht="15.75" customHeight="1" thickBot="1" x14ac:dyDescent="0.3">
      <c r="A23" s="116" t="s">
        <v>163</v>
      </c>
      <c r="B23" s="117">
        <f>0.85*E8*B15</f>
        <v>1393.7761158211417</v>
      </c>
      <c r="C23" t="s">
        <v>164</v>
      </c>
    </row>
    <row r="24" spans="1:11" ht="15.75" thickBot="1" x14ac:dyDescent="0.3"/>
    <row r="25" spans="1:11" x14ac:dyDescent="0.25">
      <c r="B25" s="118" t="s">
        <v>165</v>
      </c>
      <c r="C25" s="119" t="s">
        <v>166</v>
      </c>
      <c r="D25" s="119" t="s">
        <v>167</v>
      </c>
      <c r="E25" s="119" t="s">
        <v>168</v>
      </c>
      <c r="F25" s="119" t="s">
        <v>169</v>
      </c>
      <c r="G25" s="119" t="s">
        <v>170</v>
      </c>
      <c r="H25" s="120" t="s">
        <v>171</v>
      </c>
      <c r="I25" s="120" t="s">
        <v>172</v>
      </c>
      <c r="J25" s="120" t="s">
        <v>173</v>
      </c>
      <c r="K25" s="121" t="s">
        <v>174</v>
      </c>
    </row>
    <row r="26" spans="1:11" x14ac:dyDescent="0.25">
      <c r="B26" s="105">
        <f>B27+B2</f>
        <v>19.2</v>
      </c>
      <c r="C26" s="42">
        <f t="shared" ref="C26:C31" si="2">E2*B26</f>
        <v>52443.480768000009</v>
      </c>
      <c r="D26" s="42">
        <f t="shared" ref="D26:D31" si="3">(C26*$B$23)/$C$33</f>
        <v>297.99603904817559</v>
      </c>
      <c r="E26" s="42">
        <f>D26</f>
        <v>297.99603904817559</v>
      </c>
      <c r="F26" s="42">
        <f t="shared" ref="F26:F31" si="4">E26/F13</f>
        <v>45.843409958543681</v>
      </c>
      <c r="G26" s="42">
        <f>0.5*F26*B2</f>
        <v>61.888603444033976</v>
      </c>
      <c r="H26" s="42">
        <f>G26/2</f>
        <v>30.944301722016988</v>
      </c>
      <c r="I26" s="42">
        <f t="shared" ref="I26:I31" si="5">H26/$J$12</f>
        <v>5.1573836203361649</v>
      </c>
      <c r="J26" s="42">
        <f t="shared" ref="J26:J31" si="6">2*I26</f>
        <v>10.31476724067233</v>
      </c>
      <c r="K26" s="47">
        <f>J26</f>
        <v>10.31476724067233</v>
      </c>
    </row>
    <row r="27" spans="1:11" x14ac:dyDescent="0.25">
      <c r="B27" s="105">
        <f>B28+B3</f>
        <v>16.5</v>
      </c>
      <c r="C27" s="42">
        <f t="shared" si="2"/>
        <v>62409.888857250015</v>
      </c>
      <c r="D27" s="42">
        <f t="shared" si="3"/>
        <v>354.62748476156543</v>
      </c>
      <c r="E27" s="42">
        <f>E26+D27</f>
        <v>652.62352380974107</v>
      </c>
      <c r="F27" s="42">
        <f t="shared" si="4"/>
        <v>63.748911761718091</v>
      </c>
      <c r="G27" s="42">
        <f>0.5*F27*B3</f>
        <v>101.99825881874895</v>
      </c>
      <c r="H27" s="42">
        <f>(G26+G27)/2</f>
        <v>81.943431131391463</v>
      </c>
      <c r="I27" s="42">
        <f t="shared" si="5"/>
        <v>13.657238521898577</v>
      </c>
      <c r="J27" s="42">
        <f t="shared" si="6"/>
        <v>27.314477043797154</v>
      </c>
      <c r="K27" s="47">
        <f>K26+J27</f>
        <v>37.629244284469486</v>
      </c>
    </row>
    <row r="28" spans="1:11" x14ac:dyDescent="0.25">
      <c r="B28" s="105">
        <f>B29+B4</f>
        <v>13.3</v>
      </c>
      <c r="C28" s="42">
        <f t="shared" si="2"/>
        <v>50306.152836450012</v>
      </c>
      <c r="D28" s="42">
        <f t="shared" si="3"/>
        <v>285.85124529265579</v>
      </c>
      <c r="E28" s="42">
        <f>E27+D28</f>
        <v>938.47476910239686</v>
      </c>
      <c r="F28" s="42">
        <f t="shared" si="4"/>
        <v>92.988088259633912</v>
      </c>
      <c r="G28" s="42">
        <f>0.5*F28*B4</f>
        <v>148.78094121541426</v>
      </c>
      <c r="H28" s="42">
        <f>(G27+G28)/2</f>
        <v>125.38960001708161</v>
      </c>
      <c r="I28" s="42">
        <f t="shared" si="5"/>
        <v>20.8982666695136</v>
      </c>
      <c r="J28" s="42">
        <f t="shared" si="6"/>
        <v>41.796533339027199</v>
      </c>
      <c r="K28" s="47">
        <f>K27+J28</f>
        <v>79.425777623496685</v>
      </c>
    </row>
    <row r="29" spans="1:11" x14ac:dyDescent="0.25">
      <c r="B29" s="105">
        <f>B30+B5</f>
        <v>10.100000000000001</v>
      </c>
      <c r="C29" s="42">
        <f t="shared" si="2"/>
        <v>39265.946815650008</v>
      </c>
      <c r="D29" s="42">
        <f t="shared" si="3"/>
        <v>223.11823031547914</v>
      </c>
      <c r="E29" s="42">
        <f>E28+D29</f>
        <v>1161.5929994178759</v>
      </c>
      <c r="F29" s="42">
        <f t="shared" si="4"/>
        <v>116.94398447804144</v>
      </c>
      <c r="G29" s="42">
        <f>0.5*F29*B5</f>
        <v>187.11037516486633</v>
      </c>
      <c r="H29" s="42">
        <f>(G28+G29)/2</f>
        <v>167.94565819014031</v>
      </c>
      <c r="I29" s="42">
        <f t="shared" si="5"/>
        <v>27.990943031690051</v>
      </c>
      <c r="J29" s="42">
        <f t="shared" si="6"/>
        <v>55.981886063380102</v>
      </c>
      <c r="K29" s="47">
        <f>K28+J29</f>
        <v>135.40766368687679</v>
      </c>
    </row>
    <row r="30" spans="1:11" ht="15.75" thickBot="1" x14ac:dyDescent="0.3">
      <c r="B30" s="105">
        <f>B31+B6</f>
        <v>6.9</v>
      </c>
      <c r="C30" s="42">
        <f t="shared" si="2"/>
        <v>26825.250794850002</v>
      </c>
      <c r="D30" s="42">
        <f t="shared" si="3"/>
        <v>152.42730585908967</v>
      </c>
      <c r="E30" s="42">
        <f>E29+D30</f>
        <v>1314.0203052769657</v>
      </c>
      <c r="F30" s="42">
        <f t="shared" si="4"/>
        <v>132.28968344433011</v>
      </c>
      <c r="G30" s="42">
        <f>0.5*F30*B6</f>
        <v>211.66349351092819</v>
      </c>
      <c r="H30" s="42">
        <f>(G29+G30)/2</f>
        <v>199.38693433789726</v>
      </c>
      <c r="I30" s="42">
        <f t="shared" si="5"/>
        <v>33.231155722982876</v>
      </c>
      <c r="J30" s="42">
        <f t="shared" si="6"/>
        <v>66.462311445965753</v>
      </c>
      <c r="K30" s="47">
        <f>K29+J30</f>
        <v>201.86997513284254</v>
      </c>
    </row>
    <row r="31" spans="1:11" ht="15.75" thickBot="1" x14ac:dyDescent="0.3">
      <c r="A31" s="122" t="s">
        <v>175</v>
      </c>
      <c r="B31" s="123">
        <v>3.7</v>
      </c>
      <c r="C31" s="36">
        <f t="shared" si="2"/>
        <v>14035.999705800003</v>
      </c>
      <c r="D31" s="42">
        <f t="shared" si="3"/>
        <v>79.755810544176228</v>
      </c>
      <c r="E31" s="36">
        <f>E30+D31</f>
        <v>1393.776115821142</v>
      </c>
      <c r="F31" s="42">
        <f t="shared" si="4"/>
        <v>137.99038791358572</v>
      </c>
      <c r="G31" s="36">
        <f>0.4*F31*B7</f>
        <v>204.22577411210688</v>
      </c>
      <c r="H31" s="36">
        <f>(G30+G31)/2</f>
        <v>207.94463381151752</v>
      </c>
      <c r="I31" s="42">
        <f t="shared" si="5"/>
        <v>34.657438968586256</v>
      </c>
      <c r="J31" s="42">
        <f t="shared" si="6"/>
        <v>69.314877937172511</v>
      </c>
      <c r="K31" s="47">
        <f>K30+J31</f>
        <v>271.18485307001504</v>
      </c>
    </row>
    <row r="32" spans="1:11" ht="15.75" thickBot="1" x14ac:dyDescent="0.3">
      <c r="A32" s="124" t="s">
        <v>176</v>
      </c>
      <c r="G32" s="60">
        <f>0.6*F31*B7</f>
        <v>306.33866116816029</v>
      </c>
    </row>
    <row r="33" spans="1:9" ht="15.75" thickBot="1" x14ac:dyDescent="0.3">
      <c r="A33" s="125" t="s">
        <v>17</v>
      </c>
      <c r="B33" s="126"/>
      <c r="C33" s="127">
        <f>SUM(C26:C31)</f>
        <v>245286.71977800003</v>
      </c>
      <c r="D33" s="127">
        <f>SUM(D26:D31)</f>
        <v>1393.776115821142</v>
      </c>
      <c r="E33" s="128">
        <f>SUM(E26:E31)</f>
        <v>5758.483752476297</v>
      </c>
    </row>
    <row r="34" spans="1:9" x14ac:dyDescent="0.25">
      <c r="A34" s="8"/>
      <c r="B34" s="38"/>
      <c r="C34" s="129"/>
      <c r="D34" s="8"/>
    </row>
    <row r="35" spans="1:9" ht="15.75" thickBot="1" x14ac:dyDescent="0.3">
      <c r="A35" s="8"/>
      <c r="B35" s="8"/>
      <c r="C35" s="8"/>
      <c r="D35" s="8"/>
    </row>
    <row r="36" spans="1:9" ht="15.75" thickBot="1" x14ac:dyDescent="0.3">
      <c r="E36" s="286" t="s">
        <v>177</v>
      </c>
      <c r="F36" s="280"/>
      <c r="G36" s="280"/>
      <c r="H36" s="281"/>
      <c r="I36" s="130"/>
    </row>
    <row r="37" spans="1:9" ht="15.75" thickBot="1" x14ac:dyDescent="0.3">
      <c r="E37" s="53" t="s">
        <v>178</v>
      </c>
      <c r="F37" s="54" t="s">
        <v>169</v>
      </c>
      <c r="G37" s="54" t="s">
        <v>170</v>
      </c>
      <c r="H37" s="55" t="s">
        <v>171</v>
      </c>
    </row>
    <row r="38" spans="1:9" x14ac:dyDescent="0.25">
      <c r="D38" s="131" t="s">
        <v>123</v>
      </c>
      <c r="E38" s="132">
        <f t="shared" ref="E38:G44" si="7">E26</f>
        <v>297.99603904817559</v>
      </c>
      <c r="F38" s="133">
        <f>F26*1.2</f>
        <v>55.012091950252419</v>
      </c>
      <c r="G38" s="133">
        <f>G26*1.2</f>
        <v>74.266324132840765</v>
      </c>
      <c r="H38" s="17">
        <f>H26*1.2</f>
        <v>37.133162066420383</v>
      </c>
    </row>
    <row r="39" spans="1:9" x14ac:dyDescent="0.25">
      <c r="D39" s="134">
        <v>4</v>
      </c>
      <c r="E39" s="132">
        <f t="shared" si="7"/>
        <v>652.62352380974107</v>
      </c>
      <c r="F39" s="133">
        <f>F27*1.2</f>
        <v>76.498694114061706</v>
      </c>
      <c r="G39" s="133">
        <f t="shared" si="7"/>
        <v>101.99825881874895</v>
      </c>
      <c r="H39" s="17">
        <f>H27*1.2</f>
        <v>98.332117357669759</v>
      </c>
    </row>
    <row r="40" spans="1:9" x14ac:dyDescent="0.25">
      <c r="D40" s="134">
        <v>3</v>
      </c>
      <c r="E40" s="132">
        <f t="shared" si="7"/>
        <v>938.47476910239686</v>
      </c>
      <c r="F40" s="133">
        <f>F28*1.2</f>
        <v>111.58570591156069</v>
      </c>
      <c r="G40" s="133">
        <f t="shared" si="7"/>
        <v>148.78094121541426</v>
      </c>
      <c r="H40" s="17">
        <f>H28*1.2</f>
        <v>150.46752002049791</v>
      </c>
    </row>
    <row r="41" spans="1:9" x14ac:dyDescent="0.25">
      <c r="D41" s="134">
        <v>2</v>
      </c>
      <c r="E41" s="132">
        <f t="shared" si="7"/>
        <v>1161.5929994178759</v>
      </c>
      <c r="F41" s="133">
        <f>F29*1.2</f>
        <v>140.33278137364974</v>
      </c>
      <c r="G41" s="133">
        <f t="shared" si="7"/>
        <v>187.11037516486633</v>
      </c>
      <c r="H41" s="17">
        <f>H29*1.2</f>
        <v>201.53478982816836</v>
      </c>
    </row>
    <row r="42" spans="1:9" x14ac:dyDescent="0.25">
      <c r="D42" s="134">
        <v>1</v>
      </c>
      <c r="E42" s="132">
        <f t="shared" si="7"/>
        <v>1314.0203052769657</v>
      </c>
      <c r="F42" s="133">
        <f>F30*1.2</f>
        <v>158.74762013319614</v>
      </c>
      <c r="G42" s="133">
        <f t="shared" si="7"/>
        <v>211.66349351092819</v>
      </c>
      <c r="H42" s="17">
        <f>H30*1.2</f>
        <v>239.2643212054767</v>
      </c>
    </row>
    <row r="43" spans="1:9" ht="15.75" thickBot="1" x14ac:dyDescent="0.3">
      <c r="D43" s="135" t="s">
        <v>179</v>
      </c>
      <c r="E43" s="132">
        <f t="shared" si="7"/>
        <v>1393.776115821142</v>
      </c>
      <c r="F43" s="133">
        <f>F31*1.2</f>
        <v>165.58846549630286</v>
      </c>
      <c r="G43" s="136">
        <f t="shared" si="7"/>
        <v>204.22577411210688</v>
      </c>
      <c r="H43" s="17">
        <f>H31*1.2</f>
        <v>249.53356057382101</v>
      </c>
    </row>
    <row r="44" spans="1:9" ht="15.75" thickBot="1" x14ac:dyDescent="0.3">
      <c r="D44" s="137" t="s">
        <v>180</v>
      </c>
      <c r="E44" s="138"/>
      <c r="F44" s="138"/>
      <c r="G44" s="139">
        <f t="shared" si="7"/>
        <v>306.33866116816029</v>
      </c>
      <c r="H44" s="8"/>
    </row>
    <row r="45" spans="1:9" ht="15.75" thickBot="1" x14ac:dyDescent="0.3">
      <c r="E45" s="8"/>
      <c r="F45" s="8"/>
    </row>
    <row r="46" spans="1:9" ht="15.75" thickBot="1" x14ac:dyDescent="0.3">
      <c r="E46" s="287" t="s">
        <v>181</v>
      </c>
      <c r="F46" s="288"/>
      <c r="G46" s="288"/>
      <c r="H46" s="289"/>
    </row>
    <row r="47" spans="1:9" ht="15.75" thickBot="1" x14ac:dyDescent="0.3">
      <c r="E47" s="140" t="s">
        <v>178</v>
      </c>
      <c r="F47" s="141" t="s">
        <v>169</v>
      </c>
      <c r="G47" s="141" t="s">
        <v>170</v>
      </c>
      <c r="H47" s="142" t="s">
        <v>171</v>
      </c>
    </row>
    <row r="48" spans="1:9" x14ac:dyDescent="0.25">
      <c r="D48" s="131" t="s">
        <v>123</v>
      </c>
      <c r="E48" s="143">
        <v>475.61367520889002</v>
      </c>
      <c r="F48" s="38">
        <f t="shared" ref="F48:H53" si="8">F26</f>
        <v>45.843409958543681</v>
      </c>
      <c r="G48" s="38">
        <f t="shared" ref="G48:G53" si="9">G26*1.5</f>
        <v>92.832905166050963</v>
      </c>
      <c r="H48" s="84">
        <f t="shared" si="8"/>
        <v>30.944301722016988</v>
      </c>
    </row>
    <row r="49" spans="1:10" x14ac:dyDescent="0.25">
      <c r="D49" s="134">
        <v>4</v>
      </c>
      <c r="E49" s="143">
        <v>1013.5022063720858</v>
      </c>
      <c r="F49" s="38">
        <f t="shared" si="8"/>
        <v>63.748911761718091</v>
      </c>
      <c r="G49" s="38">
        <f t="shared" si="9"/>
        <v>152.99738822812344</v>
      </c>
      <c r="H49" s="84">
        <f t="shared" si="8"/>
        <v>81.943431131391463</v>
      </c>
    </row>
    <row r="50" spans="1:10" x14ac:dyDescent="0.25">
      <c r="D50" s="134">
        <v>3</v>
      </c>
      <c r="E50" s="143">
        <v>1447.0729617945406</v>
      </c>
      <c r="F50" s="38">
        <f t="shared" si="8"/>
        <v>92.988088259633912</v>
      </c>
      <c r="G50" s="38">
        <f t="shared" si="9"/>
        <v>223.17141182312139</v>
      </c>
      <c r="H50" s="84">
        <f t="shared" si="8"/>
        <v>125.38960001708161</v>
      </c>
    </row>
    <row r="51" spans="1:10" x14ac:dyDescent="0.25">
      <c r="D51" s="134">
        <v>2</v>
      </c>
      <c r="E51" s="143">
        <v>1776.3259414762542</v>
      </c>
      <c r="F51" s="38">
        <f t="shared" si="8"/>
        <v>116.94398447804144</v>
      </c>
      <c r="G51" s="38">
        <f t="shared" si="9"/>
        <v>280.66556274729948</v>
      </c>
      <c r="H51" s="84">
        <f t="shared" si="8"/>
        <v>167.94565819014031</v>
      </c>
    </row>
    <row r="52" spans="1:10" x14ac:dyDescent="0.25">
      <c r="D52" s="134">
        <v>1</v>
      </c>
      <c r="E52" s="143">
        <v>1984.5578170435981</v>
      </c>
      <c r="F52" s="38">
        <f t="shared" si="8"/>
        <v>132.28968344433011</v>
      </c>
      <c r="G52" s="38">
        <f t="shared" si="9"/>
        <v>317.49524026639227</v>
      </c>
      <c r="H52" s="84">
        <f t="shared" si="8"/>
        <v>199.38693433789726</v>
      </c>
    </row>
    <row r="53" spans="1:10" ht="15.75" thickBot="1" x14ac:dyDescent="0.3">
      <c r="D53" s="135" t="s">
        <v>179</v>
      </c>
      <c r="E53" s="144">
        <v>2096.2183879999998</v>
      </c>
      <c r="F53" s="144">
        <f t="shared" si="8"/>
        <v>137.99038791358572</v>
      </c>
      <c r="G53" s="38">
        <f t="shared" si="9"/>
        <v>306.33866116816034</v>
      </c>
      <c r="H53" s="83">
        <f t="shared" si="8"/>
        <v>207.94463381151752</v>
      </c>
    </row>
    <row r="54" spans="1:10" ht="15.75" thickBot="1" x14ac:dyDescent="0.3">
      <c r="D54" s="137" t="s">
        <v>180</v>
      </c>
      <c r="E54" s="145"/>
      <c r="F54" s="145"/>
      <c r="G54" s="146">
        <f>0.6*F53*B7</f>
        <v>306.33866116816029</v>
      </c>
      <c r="H54" s="145"/>
    </row>
    <row r="56" spans="1:10" ht="15.75" thickBot="1" x14ac:dyDescent="0.3"/>
    <row r="57" spans="1:10" ht="15.75" thickBot="1" x14ac:dyDescent="0.3">
      <c r="A57" s="251" t="s">
        <v>182</v>
      </c>
      <c r="B57" s="252"/>
      <c r="C57" s="252"/>
      <c r="D57" s="252"/>
      <c r="E57" s="252"/>
      <c r="F57" s="252"/>
      <c r="G57" s="253"/>
    </row>
    <row r="58" spans="1:10" ht="15.75" thickBot="1" x14ac:dyDescent="0.3">
      <c r="A58" s="103"/>
      <c r="B58" s="103"/>
      <c r="C58" s="103"/>
      <c r="D58" s="103"/>
      <c r="E58" s="103"/>
      <c r="F58" s="103"/>
      <c r="G58" s="103"/>
    </row>
    <row r="59" spans="1:10" ht="15.75" thickBot="1" x14ac:dyDescent="0.3">
      <c r="A59" s="241" t="s">
        <v>120</v>
      </c>
      <c r="B59" s="148" t="s">
        <v>183</v>
      </c>
      <c r="C59" s="148" t="s">
        <v>184</v>
      </c>
      <c r="D59" s="148" t="s">
        <v>185</v>
      </c>
      <c r="E59" s="148" t="s">
        <v>174</v>
      </c>
      <c r="F59" s="148" t="s">
        <v>186</v>
      </c>
      <c r="G59" s="241" t="s">
        <v>187</v>
      </c>
    </row>
    <row r="60" spans="1:10" x14ac:dyDescent="0.25">
      <c r="A60" s="149" t="s">
        <v>123</v>
      </c>
      <c r="B60" s="169">
        <f t="shared" ref="B60:B66" si="10">G48</f>
        <v>92.832905166050963</v>
      </c>
      <c r="C60" s="82">
        <f>'carichi unitari'!B167</f>
        <v>276.54534348000004</v>
      </c>
      <c r="D60" s="82">
        <f>'carichi unitari'!C167</f>
        <v>80.888311980000012</v>
      </c>
      <c r="E60" s="82">
        <f t="shared" ref="E60:E65" si="11">K26</f>
        <v>10.31476724067233</v>
      </c>
      <c r="F60" s="170">
        <f t="shared" ref="F60:F65" si="12">C60+E60</f>
        <v>286.86011072067237</v>
      </c>
      <c r="G60" s="171">
        <f t="shared" ref="G60:G65" si="13">D60-E60</f>
        <v>70.573544739327687</v>
      </c>
    </row>
    <row r="61" spans="1:10" x14ac:dyDescent="0.25">
      <c r="A61" s="6">
        <v>4</v>
      </c>
      <c r="B61" s="172">
        <f t="shared" si="10"/>
        <v>152.99738822812344</v>
      </c>
      <c r="C61" s="38">
        <f>'carichi unitari'!B168</f>
        <v>291.84314348000004</v>
      </c>
      <c r="D61" s="38">
        <f>'carichi unitari'!C168</f>
        <v>96.186111980000007</v>
      </c>
      <c r="E61" s="38">
        <f t="shared" si="11"/>
        <v>37.629244284469486</v>
      </c>
      <c r="F61" s="150">
        <f t="shared" si="12"/>
        <v>329.47238776446954</v>
      </c>
      <c r="G61" s="151">
        <f t="shared" si="13"/>
        <v>58.556867695530521</v>
      </c>
    </row>
    <row r="62" spans="1:10" x14ac:dyDescent="0.25">
      <c r="A62" s="6">
        <v>3</v>
      </c>
      <c r="B62" s="172">
        <f t="shared" si="10"/>
        <v>223.17141182312139</v>
      </c>
      <c r="C62" s="38">
        <f>'carichi unitari'!B169</f>
        <v>583.68628696000007</v>
      </c>
      <c r="D62" s="38">
        <f>'carichi unitari'!C169</f>
        <v>192.37222396000001</v>
      </c>
      <c r="E62" s="38">
        <f t="shared" si="11"/>
        <v>79.425777623496685</v>
      </c>
      <c r="F62" s="150">
        <f t="shared" si="12"/>
        <v>663.1120645834967</v>
      </c>
      <c r="G62" s="151">
        <f t="shared" si="13"/>
        <v>112.94644633650333</v>
      </c>
    </row>
    <row r="63" spans="1:10" x14ac:dyDescent="0.25">
      <c r="A63" s="6">
        <v>2</v>
      </c>
      <c r="B63" s="172">
        <f t="shared" si="10"/>
        <v>280.66556274729948</v>
      </c>
      <c r="C63" s="38">
        <f>'carichi unitari'!B170</f>
        <v>875.52943044000017</v>
      </c>
      <c r="D63" s="38">
        <f>'carichi unitari'!C170</f>
        <v>288.55833594000001</v>
      </c>
      <c r="E63" s="38">
        <f t="shared" si="11"/>
        <v>135.40766368687679</v>
      </c>
      <c r="F63" s="150">
        <f t="shared" si="12"/>
        <v>1010.9370941268769</v>
      </c>
      <c r="G63" s="151">
        <f t="shared" si="13"/>
        <v>153.15067225312322</v>
      </c>
    </row>
    <row r="64" spans="1:10" x14ac:dyDescent="0.25">
      <c r="A64" s="6">
        <v>1</v>
      </c>
      <c r="B64" s="173">
        <f t="shared" si="10"/>
        <v>317.49524026639227</v>
      </c>
      <c r="C64" s="38">
        <f>'carichi unitari'!B171</f>
        <v>1167.3725739200001</v>
      </c>
      <c r="D64" s="38">
        <f>'carichi unitari'!C171</f>
        <v>384.74444792000003</v>
      </c>
      <c r="E64" s="38">
        <f t="shared" si="11"/>
        <v>201.86997513284254</v>
      </c>
      <c r="F64" s="150">
        <f t="shared" si="12"/>
        <v>1369.2425490528426</v>
      </c>
      <c r="G64" s="152">
        <f t="shared" si="13"/>
        <v>182.87447278715749</v>
      </c>
      <c r="I64" s="8"/>
      <c r="J64" s="8"/>
    </row>
    <row r="65" spans="1:10" ht="15.75" thickBot="1" x14ac:dyDescent="0.3">
      <c r="A65" s="149" t="s">
        <v>188</v>
      </c>
      <c r="B65" s="174">
        <f t="shared" si="10"/>
        <v>306.33866116816034</v>
      </c>
      <c r="C65" s="144">
        <f>'carichi unitari'!B172</f>
        <v>1459.2157174000001</v>
      </c>
      <c r="D65" s="144">
        <f>'carichi unitari'!C172</f>
        <v>480.93055990000005</v>
      </c>
      <c r="E65" s="144">
        <f t="shared" si="11"/>
        <v>271.18485307001504</v>
      </c>
      <c r="F65" s="153">
        <f t="shared" si="12"/>
        <v>1730.4005704700153</v>
      </c>
      <c r="G65" s="154">
        <f t="shared" si="13"/>
        <v>209.74570682998501</v>
      </c>
      <c r="I65" s="8"/>
      <c r="J65" s="8"/>
    </row>
    <row r="66" spans="1:10" ht="15.75" thickBot="1" x14ac:dyDescent="0.3">
      <c r="A66" s="13" t="s">
        <v>189</v>
      </c>
      <c r="B66" s="83">
        <f t="shared" si="10"/>
        <v>306.33866116816029</v>
      </c>
      <c r="C66" s="38"/>
      <c r="D66" s="8"/>
      <c r="E66" s="8"/>
      <c r="F66" s="8"/>
      <c r="G66" s="8"/>
    </row>
    <row r="67" spans="1:10" ht="15.75" customHeight="1" thickBot="1" x14ac:dyDescent="0.3">
      <c r="C67" s="8"/>
      <c r="D67" s="8"/>
      <c r="G67" s="8"/>
      <c r="H67" s="8"/>
      <c r="I67" s="8"/>
      <c r="J67" s="8"/>
    </row>
    <row r="68" spans="1:10" ht="15.75" thickBot="1" x14ac:dyDescent="0.3">
      <c r="A68" s="69" t="s">
        <v>190</v>
      </c>
      <c r="B68" s="71">
        <v>391.3</v>
      </c>
      <c r="D68" s="77" t="s">
        <v>191</v>
      </c>
      <c r="E68" s="77">
        <v>30</v>
      </c>
      <c r="G68" s="8"/>
      <c r="H68" s="38"/>
      <c r="I68" s="8"/>
      <c r="J68" s="8"/>
    </row>
    <row r="69" spans="1:10" ht="15.75" thickBot="1" x14ac:dyDescent="0.3">
      <c r="A69" s="12" t="s">
        <v>192</v>
      </c>
      <c r="B69" s="13">
        <v>14.17</v>
      </c>
      <c r="G69" s="8"/>
      <c r="H69" s="8"/>
      <c r="I69" s="8"/>
      <c r="J69" s="8"/>
    </row>
    <row r="70" spans="1:10" ht="15.75" thickBot="1" x14ac:dyDescent="0.3">
      <c r="G70" s="8"/>
      <c r="H70" s="8"/>
      <c r="I70" s="8"/>
      <c r="J70" s="8"/>
    </row>
    <row r="71" spans="1:10" ht="15.75" thickBot="1" x14ac:dyDescent="0.3">
      <c r="A71" s="290" t="s">
        <v>193</v>
      </c>
      <c r="B71" s="291"/>
      <c r="C71" s="292"/>
      <c r="G71" s="8"/>
      <c r="H71" s="8"/>
      <c r="I71" s="8"/>
      <c r="J71" s="8"/>
    </row>
    <row r="72" spans="1:10" ht="15.75" thickBot="1" x14ac:dyDescent="0.3">
      <c r="G72" s="8"/>
      <c r="H72" s="8"/>
      <c r="I72" s="8"/>
      <c r="J72" s="8"/>
    </row>
    <row r="73" spans="1:10" x14ac:dyDescent="0.25">
      <c r="A73" s="155" t="s">
        <v>194</v>
      </c>
      <c r="B73" s="156">
        <f>B64</f>
        <v>317.49524026639227</v>
      </c>
      <c r="C73" s="157" t="s">
        <v>195</v>
      </c>
      <c r="E73" t="s">
        <v>196</v>
      </c>
    </row>
    <row r="74" spans="1:10" ht="15.75" thickBot="1" x14ac:dyDescent="0.3">
      <c r="A74" s="158" t="s">
        <v>197</v>
      </c>
      <c r="B74" s="159">
        <f>G64</f>
        <v>182.87447278715749</v>
      </c>
      <c r="C74" s="160" t="s">
        <v>164</v>
      </c>
    </row>
    <row r="75" spans="1:10" ht="15.75" thickBot="1" x14ac:dyDescent="0.3"/>
    <row r="76" spans="1:10" x14ac:dyDescent="0.25">
      <c r="A76" s="155" t="s">
        <v>194</v>
      </c>
      <c r="B76" s="156">
        <f>B65</f>
        <v>306.33866116816034</v>
      </c>
      <c r="C76" s="157" t="s">
        <v>195</v>
      </c>
    </row>
    <row r="77" spans="1:10" ht="15.75" thickBot="1" x14ac:dyDescent="0.3">
      <c r="A77" s="158" t="s">
        <v>197</v>
      </c>
      <c r="B77" s="159">
        <f>F65</f>
        <v>1730.4005704700153</v>
      </c>
      <c r="C77" s="160" t="s">
        <v>164</v>
      </c>
    </row>
    <row r="78" spans="1:10" x14ac:dyDescent="0.25">
      <c r="A78" s="8"/>
      <c r="B78" s="38"/>
    </row>
    <row r="79" spans="1:10" x14ac:dyDescent="0.25">
      <c r="A79" s="8"/>
      <c r="B79" s="38"/>
    </row>
    <row r="104" spans="1:8" ht="15.75" thickBot="1" x14ac:dyDescent="0.3"/>
    <row r="105" spans="1:8" ht="15.75" thickBot="1" x14ac:dyDescent="0.3">
      <c r="A105" s="251" t="s">
        <v>198</v>
      </c>
      <c r="B105" s="280"/>
      <c r="C105" s="280"/>
      <c r="D105" s="280"/>
      <c r="E105" s="281"/>
    </row>
    <row r="108" spans="1:8" ht="15.75" thickBot="1" x14ac:dyDescent="0.3"/>
    <row r="109" spans="1:8" ht="15.75" thickBot="1" x14ac:dyDescent="0.3">
      <c r="A109" s="18"/>
      <c r="B109" s="77" t="s">
        <v>206</v>
      </c>
      <c r="C109" s="77" t="s">
        <v>205</v>
      </c>
      <c r="D109" s="77" t="s">
        <v>199</v>
      </c>
      <c r="E109" s="77" t="s">
        <v>200</v>
      </c>
      <c r="F109" s="77" t="s">
        <v>201</v>
      </c>
      <c r="G109" s="19" t="s">
        <v>210</v>
      </c>
    </row>
    <row r="110" spans="1:8" ht="15.75" thickBot="1" x14ac:dyDescent="0.3">
      <c r="A110" s="5" t="s">
        <v>123</v>
      </c>
      <c r="B110" s="143">
        <f>'carichi unitari'!$E$119*'carichi unitari'!$B$115^2/10</f>
        <v>140.03997120000002</v>
      </c>
      <c r="C110" s="176">
        <f t="shared" ref="C110:C115" si="14">H48</f>
        <v>30.944301722016988</v>
      </c>
      <c r="D110" s="176">
        <f t="shared" ref="D110:D115" si="15">B110+C110</f>
        <v>170.984272922017</v>
      </c>
      <c r="E110" s="179">
        <v>25</v>
      </c>
      <c r="F110" s="179">
        <v>0.3</v>
      </c>
      <c r="G110" s="84">
        <f t="shared" ref="G110:G115" si="16">0.018*SQRT(D110/F110)</f>
        <v>0.4297243474086363</v>
      </c>
      <c r="H110" s="180" t="s">
        <v>209</v>
      </c>
    </row>
    <row r="111" spans="1:8" ht="15.75" thickBot="1" x14ac:dyDescent="0.3">
      <c r="A111" s="5">
        <v>5</v>
      </c>
      <c r="B111" s="161">
        <f>'carichi unitari'!$E$119*'carichi unitari'!$B$115^2/10</f>
        <v>140.03997120000002</v>
      </c>
      <c r="C111" s="177">
        <f t="shared" si="14"/>
        <v>81.943431131391463</v>
      </c>
      <c r="D111" s="177">
        <f t="shared" si="15"/>
        <v>221.98340233139149</v>
      </c>
      <c r="E111" s="14">
        <v>25</v>
      </c>
      <c r="F111" s="14">
        <v>0.3</v>
      </c>
      <c r="G111" s="84">
        <f t="shared" si="16"/>
        <v>0.48963463369935628</v>
      </c>
      <c r="H111" s="180" t="s">
        <v>208</v>
      </c>
    </row>
    <row r="112" spans="1:8" ht="15.75" thickBot="1" x14ac:dyDescent="0.3">
      <c r="A112" s="5">
        <v>4</v>
      </c>
      <c r="B112" s="161">
        <f>'carichi unitari'!$E$119*'carichi unitari'!$B$115^2/10</f>
        <v>140.03997120000002</v>
      </c>
      <c r="C112" s="177">
        <f t="shared" si="14"/>
        <v>125.38960001708161</v>
      </c>
      <c r="D112" s="177">
        <f t="shared" si="15"/>
        <v>265.42957121708162</v>
      </c>
      <c r="E112" s="14">
        <v>25</v>
      </c>
      <c r="F112" s="14">
        <v>0.3</v>
      </c>
      <c r="G112" s="84">
        <f t="shared" si="16"/>
        <v>0.53541006426331594</v>
      </c>
      <c r="H112" s="180" t="s">
        <v>208</v>
      </c>
    </row>
    <row r="113" spans="1:8" ht="15.75" thickBot="1" x14ac:dyDescent="0.3">
      <c r="A113" s="5">
        <v>3</v>
      </c>
      <c r="B113" s="161">
        <f>'carichi unitari'!$E$119*'carichi unitari'!$B$115^2/10</f>
        <v>140.03997120000002</v>
      </c>
      <c r="C113" s="177">
        <f t="shared" si="14"/>
        <v>167.94565819014031</v>
      </c>
      <c r="D113" s="177">
        <f t="shared" si="15"/>
        <v>307.98562939014033</v>
      </c>
      <c r="E113" s="14">
        <v>25</v>
      </c>
      <c r="F113" s="14">
        <v>0.3</v>
      </c>
      <c r="G113" s="84">
        <f t="shared" si="16"/>
        <v>0.57673605725786858</v>
      </c>
      <c r="H113" s="180" t="s">
        <v>207</v>
      </c>
    </row>
    <row r="114" spans="1:8" ht="15.75" thickBot="1" x14ac:dyDescent="0.3">
      <c r="A114" s="5">
        <v>2</v>
      </c>
      <c r="B114" s="161">
        <f>'carichi unitari'!$E$119*'carichi unitari'!$B$115^2/10</f>
        <v>140.03997120000002</v>
      </c>
      <c r="C114" s="177">
        <f t="shared" si="14"/>
        <v>199.38693433789726</v>
      </c>
      <c r="D114" s="177">
        <f t="shared" si="15"/>
        <v>339.42690553789726</v>
      </c>
      <c r="E114" s="14">
        <v>25</v>
      </c>
      <c r="F114" s="14">
        <v>0.3</v>
      </c>
      <c r="G114" s="84">
        <f t="shared" si="16"/>
        <v>0.60545937764719537</v>
      </c>
      <c r="H114" s="180" t="s">
        <v>207</v>
      </c>
    </row>
    <row r="115" spans="1:8" ht="15.75" thickBot="1" x14ac:dyDescent="0.3">
      <c r="A115" s="12" t="s">
        <v>202</v>
      </c>
      <c r="B115" s="175">
        <f>'carichi unitari'!$E$119*'carichi unitari'!$B$115^2/10</f>
        <v>140.03997120000002</v>
      </c>
      <c r="C115" s="178">
        <f t="shared" si="14"/>
        <v>207.94463381151752</v>
      </c>
      <c r="D115" s="178">
        <f t="shared" si="15"/>
        <v>347.98460501151754</v>
      </c>
      <c r="E115" s="20">
        <v>25</v>
      </c>
      <c r="F115" s="20">
        <v>0.3</v>
      </c>
      <c r="G115" s="83">
        <f t="shared" si="16"/>
        <v>0.61304434865060042</v>
      </c>
      <c r="H115" s="180" t="s">
        <v>207</v>
      </c>
    </row>
  </sheetData>
  <mergeCells count="7">
    <mergeCell ref="A105:E105"/>
    <mergeCell ref="A8:D8"/>
    <mergeCell ref="A22:E22"/>
    <mergeCell ref="E36:H36"/>
    <mergeCell ref="E46:H46"/>
    <mergeCell ref="A57:G57"/>
    <mergeCell ref="A71:C7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"/>
  <sheetViews>
    <sheetView workbookViewId="0">
      <selection activeCell="B14" sqref="B14:B15"/>
    </sheetView>
  </sheetViews>
  <sheetFormatPr defaultRowHeight="15" x14ac:dyDescent="0.25"/>
  <cols>
    <col min="1" max="11" width="25.7109375" customWidth="1"/>
    <col min="12" max="12" width="25.28515625" customWidth="1"/>
    <col min="13" max="13" width="6.42578125" customWidth="1"/>
    <col min="14" max="14" width="21.7109375" customWidth="1"/>
    <col min="15" max="15" width="16.140625" customWidth="1"/>
    <col min="16" max="16" width="18.42578125" customWidth="1"/>
  </cols>
  <sheetData>
    <row r="1" spans="1:15" x14ac:dyDescent="0.25">
      <c r="A1" s="109" t="s">
        <v>141</v>
      </c>
      <c r="B1" s="110" t="s">
        <v>142</v>
      </c>
      <c r="C1" s="109" t="s">
        <v>143</v>
      </c>
      <c r="D1" s="109" t="s">
        <v>144</v>
      </c>
      <c r="E1" s="109" t="s">
        <v>145</v>
      </c>
      <c r="F1" s="109" t="s">
        <v>146</v>
      </c>
    </row>
    <row r="2" spans="1:15" x14ac:dyDescent="0.25">
      <c r="A2" s="162" t="s">
        <v>123</v>
      </c>
      <c r="B2" s="16">
        <v>2.7</v>
      </c>
      <c r="C2" s="16">
        <v>370.04</v>
      </c>
      <c r="D2" s="16">
        <v>7.3814487352718636</v>
      </c>
      <c r="E2" s="42">
        <f t="shared" ref="E2:E7" si="0">C2*D2</f>
        <v>2731.4312900000004</v>
      </c>
      <c r="F2" s="42">
        <f t="shared" ref="F2:F7" si="1">E2/9.81</f>
        <v>278.43336289500513</v>
      </c>
    </row>
    <row r="3" spans="1:15" x14ac:dyDescent="0.25">
      <c r="A3" s="162">
        <v>5</v>
      </c>
      <c r="B3" s="16">
        <v>3.2</v>
      </c>
      <c r="C3" s="16">
        <v>355.65</v>
      </c>
      <c r="D3" s="16">
        <v>10.635224255588362</v>
      </c>
      <c r="E3" s="42">
        <f t="shared" si="0"/>
        <v>3782.4175065000009</v>
      </c>
      <c r="F3" s="42">
        <f t="shared" si="1"/>
        <v>385.56753379204901</v>
      </c>
    </row>
    <row r="4" spans="1:15" x14ac:dyDescent="0.25">
      <c r="A4" s="162">
        <v>4</v>
      </c>
      <c r="B4" s="16">
        <v>3.2</v>
      </c>
      <c r="C4" s="16">
        <v>355.65</v>
      </c>
      <c r="D4" s="16">
        <v>10.635224255588362</v>
      </c>
      <c r="E4" s="42">
        <f t="shared" si="0"/>
        <v>3782.4175065000009</v>
      </c>
      <c r="F4" s="42">
        <f t="shared" si="1"/>
        <v>385.56753379204901</v>
      </c>
    </row>
    <row r="5" spans="1:15" x14ac:dyDescent="0.25">
      <c r="A5" s="162">
        <v>3</v>
      </c>
      <c r="B5" s="16">
        <v>3.2</v>
      </c>
      <c r="C5" s="16">
        <v>355.65</v>
      </c>
      <c r="D5" s="16">
        <v>10.931301859974695</v>
      </c>
      <c r="E5" s="42">
        <f t="shared" si="0"/>
        <v>3887.7175065000001</v>
      </c>
      <c r="F5" s="42">
        <f t="shared" si="1"/>
        <v>396.30147874617734</v>
      </c>
    </row>
    <row r="6" spans="1:15" x14ac:dyDescent="0.25">
      <c r="A6" s="162">
        <v>2</v>
      </c>
      <c r="B6" s="16">
        <v>3.2</v>
      </c>
      <c r="C6" s="16">
        <v>355.65</v>
      </c>
      <c r="D6" s="16">
        <v>10.931301859974695</v>
      </c>
      <c r="E6" s="42">
        <f>C6*D6</f>
        <v>3887.7175065000001</v>
      </c>
      <c r="F6" s="42">
        <f t="shared" si="1"/>
        <v>396.30147874617734</v>
      </c>
    </row>
    <row r="7" spans="1:15" ht="15.75" thickBot="1" x14ac:dyDescent="0.3">
      <c r="A7" s="162" t="s">
        <v>202</v>
      </c>
      <c r="B7" s="59">
        <v>3.7</v>
      </c>
      <c r="C7" s="59">
        <v>329.24</v>
      </c>
      <c r="D7" s="59">
        <v>11.522030840724092</v>
      </c>
      <c r="E7" s="67">
        <f t="shared" si="0"/>
        <v>3793.5134340000004</v>
      </c>
      <c r="F7" s="67">
        <f t="shared" si="1"/>
        <v>386.69861712538227</v>
      </c>
    </row>
    <row r="8" spans="1:15" ht="15.75" thickBot="1" x14ac:dyDescent="0.3">
      <c r="A8" s="272" t="s">
        <v>17</v>
      </c>
      <c r="B8" s="282"/>
      <c r="C8" s="282"/>
      <c r="D8" s="273"/>
      <c r="E8" s="111">
        <f>SUM(E2:E7)</f>
        <v>21865.214750000003</v>
      </c>
      <c r="F8" s="112">
        <f>SUM(F2:F6)</f>
        <v>1842.1713879714578</v>
      </c>
    </row>
    <row r="10" spans="1:15" ht="15.75" thickBot="1" x14ac:dyDescent="0.3">
      <c r="A10" s="8"/>
      <c r="B10" s="8"/>
    </row>
    <row r="11" spans="1:15" ht="15.75" thickBot="1" x14ac:dyDescent="0.3">
      <c r="A11" s="53" t="s">
        <v>149</v>
      </c>
      <c r="B11" s="26">
        <v>7.4999999999999997E-2</v>
      </c>
      <c r="F11" s="77" t="s">
        <v>150</v>
      </c>
      <c r="G11" s="164">
        <v>18</v>
      </c>
      <c r="O11" s="113"/>
    </row>
    <row r="12" spans="1:15" ht="15.75" thickBot="1" x14ac:dyDescent="0.3">
      <c r="A12" s="49" t="s">
        <v>151</v>
      </c>
      <c r="B12" s="17">
        <f>SUM(B2:B7)</f>
        <v>19.2</v>
      </c>
      <c r="F12" s="12" t="s">
        <v>152</v>
      </c>
      <c r="G12" s="20" t="s">
        <v>154</v>
      </c>
      <c r="I12" t="s">
        <v>203</v>
      </c>
      <c r="J12">
        <v>6</v>
      </c>
    </row>
    <row r="13" spans="1:15" ht="15.75" thickBot="1" x14ac:dyDescent="0.3">
      <c r="A13" s="49" t="s">
        <v>153</v>
      </c>
      <c r="B13" s="47">
        <f>0.8</f>
        <v>0.8</v>
      </c>
      <c r="E13" s="243" t="s">
        <v>123</v>
      </c>
      <c r="F13" s="167">
        <f>rigidezza!J147</f>
        <v>6.5003026458471176</v>
      </c>
      <c r="G13" s="167">
        <f>rigidezza!K147</f>
        <v>8.8789855157846418</v>
      </c>
    </row>
    <row r="14" spans="1:15" ht="15.75" thickBot="1" x14ac:dyDescent="0.3">
      <c r="A14" s="49" t="s">
        <v>155</v>
      </c>
      <c r="B14" s="101">
        <v>0.10450116271280002</v>
      </c>
      <c r="E14" s="244">
        <v>5</v>
      </c>
      <c r="F14" s="168">
        <f>rigidezza!J148</f>
        <v>10.237406502704388</v>
      </c>
      <c r="G14" s="168">
        <f>rigidezza!K148</f>
        <v>9.7377763779379798</v>
      </c>
    </row>
    <row r="15" spans="1:15" ht="15.75" thickBot="1" x14ac:dyDescent="0.3">
      <c r="A15" s="49" t="s">
        <v>156</v>
      </c>
      <c r="B15" s="101">
        <v>7.2180698984060376E-2</v>
      </c>
      <c r="E15" s="244">
        <v>4</v>
      </c>
      <c r="F15" s="168">
        <f>rigidezza!J149</f>
        <v>10.092419219137645</v>
      </c>
      <c r="G15" s="168">
        <f>rigidezza!K149</f>
        <v>9.6129000680137722</v>
      </c>
    </row>
    <row r="16" spans="1:15" ht="15.75" thickBot="1" x14ac:dyDescent="0.3">
      <c r="A16" s="114" t="s">
        <v>157</v>
      </c>
      <c r="B16" s="17">
        <v>1.3</v>
      </c>
      <c r="E16" s="244">
        <v>3</v>
      </c>
      <c r="F16" s="168">
        <f>rigidezza!J150</f>
        <v>9.932900820871108</v>
      </c>
      <c r="G16" s="168">
        <f>rigidezza!K150</f>
        <v>9.5016890745627798</v>
      </c>
    </row>
    <row r="17" spans="1:11" ht="15.75" thickBot="1" x14ac:dyDescent="0.3">
      <c r="A17" s="114" t="s">
        <v>158</v>
      </c>
      <c r="B17" s="17">
        <f>4.5*B16</f>
        <v>5.8500000000000005</v>
      </c>
      <c r="C17" s="163" t="s">
        <v>159</v>
      </c>
      <c r="E17" s="244">
        <v>2</v>
      </c>
      <c r="F17" s="168">
        <f>rigidezza!J151</f>
        <v>9.932900820871108</v>
      </c>
      <c r="G17" s="168">
        <f>rigidezza!K151</f>
        <v>9.5016890745627798</v>
      </c>
    </row>
    <row r="18" spans="1:11" ht="15.75" thickBot="1" x14ac:dyDescent="0.3">
      <c r="A18" s="114" t="s">
        <v>160</v>
      </c>
      <c r="B18" s="17">
        <v>1</v>
      </c>
      <c r="E18" s="244" t="s">
        <v>202</v>
      </c>
      <c r="F18" s="168">
        <f>rigidezza!J152</f>
        <v>10.100530456468983</v>
      </c>
      <c r="G18" s="168">
        <f>rigidezza!K152</f>
        <v>9.9353954002712452</v>
      </c>
    </row>
    <row r="19" spans="1:11" ht="15.75" thickBot="1" x14ac:dyDescent="0.3">
      <c r="A19" s="115" t="s">
        <v>161</v>
      </c>
      <c r="B19" s="28">
        <f>B17*B18</f>
        <v>5.8500000000000005</v>
      </c>
      <c r="F19" s="145"/>
    </row>
    <row r="20" spans="1:11" x14ac:dyDescent="0.25">
      <c r="D20" s="214"/>
      <c r="E20" s="214"/>
    </row>
    <row r="21" spans="1:11" ht="15.75" thickBot="1" x14ac:dyDescent="0.3"/>
    <row r="22" spans="1:11" ht="15.75" thickBot="1" x14ac:dyDescent="0.3">
      <c r="A22" s="283" t="s">
        <v>162</v>
      </c>
      <c r="B22" s="284"/>
      <c r="C22" s="284"/>
      <c r="D22" s="284"/>
      <c r="E22" s="285"/>
    </row>
    <row r="23" spans="1:11" ht="15.75" customHeight="1" thickBot="1" x14ac:dyDescent="0.3">
      <c r="A23" s="116" t="s">
        <v>163</v>
      </c>
      <c r="B23" s="117">
        <f>0.85*E8*B15</f>
        <v>1341.5095114778489</v>
      </c>
      <c r="C23" t="s">
        <v>164</v>
      </c>
    </row>
    <row r="24" spans="1:11" ht="15.75" thickBot="1" x14ac:dyDescent="0.3"/>
    <row r="25" spans="1:11" x14ac:dyDescent="0.25">
      <c r="B25" s="118" t="s">
        <v>165</v>
      </c>
      <c r="C25" s="119" t="s">
        <v>166</v>
      </c>
      <c r="D25" s="119" t="s">
        <v>167</v>
      </c>
      <c r="E25" s="119" t="s">
        <v>168</v>
      </c>
      <c r="F25" s="119" t="s">
        <v>169</v>
      </c>
      <c r="G25" s="119" t="s">
        <v>170</v>
      </c>
      <c r="H25" s="120" t="s">
        <v>171</v>
      </c>
      <c r="I25" s="120" t="s">
        <v>172</v>
      </c>
      <c r="J25" s="120" t="s">
        <v>173</v>
      </c>
      <c r="K25" s="121" t="s">
        <v>174</v>
      </c>
    </row>
    <row r="26" spans="1:11" x14ac:dyDescent="0.25">
      <c r="B26" s="105">
        <f>B27+B2</f>
        <v>19.2</v>
      </c>
      <c r="C26" s="42">
        <f t="shared" ref="C26:C31" si="2">E2*B26</f>
        <v>52443.480768000009</v>
      </c>
      <c r="D26" s="42">
        <f t="shared" ref="D26:D31" si="3">(C26*$B$23)/$C$33</f>
        <v>286.821187583869</v>
      </c>
      <c r="E26" s="42">
        <f>D26</f>
        <v>286.821187583869</v>
      </c>
      <c r="F26" s="42">
        <f t="shared" ref="F26:F31" si="4">E26/F13</f>
        <v>44.124282085098294</v>
      </c>
      <c r="G26" s="42">
        <f>0.5*F26*B2</f>
        <v>59.567780814882703</v>
      </c>
      <c r="H26" s="42">
        <f>G26/2</f>
        <v>29.783890407441351</v>
      </c>
      <c r="I26" s="42">
        <f t="shared" ref="I26:I31" si="5">H26/$J$12</f>
        <v>4.9639817345735588</v>
      </c>
      <c r="J26" s="42">
        <f t="shared" ref="J26:J31" si="6">2*I26</f>
        <v>9.9279634691471177</v>
      </c>
      <c r="K26" s="47">
        <f>J26</f>
        <v>9.9279634691471177</v>
      </c>
    </row>
    <row r="27" spans="1:11" x14ac:dyDescent="0.25">
      <c r="B27" s="105">
        <f>B28+B3</f>
        <v>16.5</v>
      </c>
      <c r="C27" s="42">
        <f t="shared" si="2"/>
        <v>62409.888857250015</v>
      </c>
      <c r="D27" s="42">
        <f t="shared" si="3"/>
        <v>341.32895408300675</v>
      </c>
      <c r="E27" s="42">
        <f>E26+D27</f>
        <v>628.1501416668757</v>
      </c>
      <c r="F27" s="42">
        <f t="shared" si="4"/>
        <v>61.358327570653657</v>
      </c>
      <c r="G27" s="42">
        <f>0.5*F27*B3</f>
        <v>98.173324113045851</v>
      </c>
      <c r="H27" s="42">
        <f>(G26+G27)/2</f>
        <v>78.870552463964273</v>
      </c>
      <c r="I27" s="42">
        <f t="shared" si="5"/>
        <v>13.145092077327378</v>
      </c>
      <c r="J27" s="42">
        <f t="shared" si="6"/>
        <v>26.290184154654757</v>
      </c>
      <c r="K27" s="47">
        <f>K26+J27</f>
        <v>36.218147623801876</v>
      </c>
    </row>
    <row r="28" spans="1:11" x14ac:dyDescent="0.25">
      <c r="B28" s="105">
        <f>B29+B4</f>
        <v>13.3</v>
      </c>
      <c r="C28" s="42">
        <f t="shared" si="2"/>
        <v>50306.152836450012</v>
      </c>
      <c r="D28" s="42">
        <f t="shared" si="3"/>
        <v>275.13182359418118</v>
      </c>
      <c r="E28" s="42">
        <f>E27+D28</f>
        <v>903.28196526105694</v>
      </c>
      <c r="F28" s="42">
        <f t="shared" si="4"/>
        <v>89.501034949897644</v>
      </c>
      <c r="G28" s="42">
        <f>0.5*F28*B4</f>
        <v>143.20165591983624</v>
      </c>
      <c r="H28" s="42">
        <f>(G27+G28)/2</f>
        <v>120.68749001644105</v>
      </c>
      <c r="I28" s="42">
        <f t="shared" si="5"/>
        <v>20.114581669406842</v>
      </c>
      <c r="J28" s="42">
        <f t="shared" si="6"/>
        <v>40.229163338813684</v>
      </c>
      <c r="K28" s="47">
        <f>K27+J28</f>
        <v>76.44731096261556</v>
      </c>
    </row>
    <row r="29" spans="1:11" x14ac:dyDescent="0.25">
      <c r="B29" s="105">
        <f>B30+B5</f>
        <v>10.100000000000001</v>
      </c>
      <c r="C29" s="42">
        <f t="shared" si="2"/>
        <v>39265.946815650008</v>
      </c>
      <c r="D29" s="42">
        <f t="shared" si="3"/>
        <v>214.75129667864866</v>
      </c>
      <c r="E29" s="42">
        <f>E28+D29</f>
        <v>1118.0332619397057</v>
      </c>
      <c r="F29" s="42">
        <f t="shared" si="4"/>
        <v>112.55858506011489</v>
      </c>
      <c r="G29" s="42">
        <f>0.5*F29*B5</f>
        <v>180.09373609618385</v>
      </c>
      <c r="H29" s="42">
        <f>(G28+G29)/2</f>
        <v>161.64769600801003</v>
      </c>
      <c r="I29" s="42">
        <f t="shared" si="5"/>
        <v>26.941282668001673</v>
      </c>
      <c r="J29" s="42">
        <f t="shared" si="6"/>
        <v>53.882565336003346</v>
      </c>
      <c r="K29" s="47">
        <f>K28+J29</f>
        <v>130.3298762986189</v>
      </c>
    </row>
    <row r="30" spans="1:11" ht="15.75" thickBot="1" x14ac:dyDescent="0.3">
      <c r="B30" s="105">
        <f>B31+B6</f>
        <v>6.9</v>
      </c>
      <c r="C30" s="42">
        <f t="shared" si="2"/>
        <v>26825.250794850002</v>
      </c>
      <c r="D30" s="42">
        <f t="shared" si="3"/>
        <v>146.71128188937382</v>
      </c>
      <c r="E30" s="42">
        <f>E29+D30</f>
        <v>1264.7445438290795</v>
      </c>
      <c r="F30" s="42">
        <f t="shared" si="4"/>
        <v>127.32882031516775</v>
      </c>
      <c r="G30" s="42">
        <f>0.5*F30*B6</f>
        <v>203.7261125042684</v>
      </c>
      <c r="H30" s="42">
        <f>(G29+G30)/2</f>
        <v>191.90992430022612</v>
      </c>
      <c r="I30" s="42">
        <f t="shared" si="5"/>
        <v>31.984987383371021</v>
      </c>
      <c r="J30" s="42">
        <f t="shared" si="6"/>
        <v>63.969974766742041</v>
      </c>
      <c r="K30" s="47">
        <f>K29+J30</f>
        <v>194.29985106536094</v>
      </c>
    </row>
    <row r="31" spans="1:11" ht="15.75" thickBot="1" x14ac:dyDescent="0.3">
      <c r="A31" s="122" t="s">
        <v>175</v>
      </c>
      <c r="B31" s="123">
        <v>3.7</v>
      </c>
      <c r="C31" s="36">
        <f t="shared" si="2"/>
        <v>14035.999705800003</v>
      </c>
      <c r="D31" s="42">
        <f t="shared" si="3"/>
        <v>76.764967648769627</v>
      </c>
      <c r="E31" s="36">
        <f>E30+D31</f>
        <v>1341.5095114778492</v>
      </c>
      <c r="F31" s="42">
        <f t="shared" si="4"/>
        <v>132.81574836682626</v>
      </c>
      <c r="G31" s="36">
        <f>0.4*F31*B7</f>
        <v>196.56730758290288</v>
      </c>
      <c r="H31" s="36">
        <f>(G30+G31)/2</f>
        <v>200.14671004358564</v>
      </c>
      <c r="I31" s="42">
        <f t="shared" si="5"/>
        <v>33.357785007264276</v>
      </c>
      <c r="J31" s="42">
        <f t="shared" si="6"/>
        <v>66.715570014528552</v>
      </c>
      <c r="K31" s="47">
        <f>K30+J31</f>
        <v>261.01542107988951</v>
      </c>
    </row>
    <row r="32" spans="1:11" ht="15.75" thickBot="1" x14ac:dyDescent="0.3">
      <c r="A32" s="124" t="s">
        <v>176</v>
      </c>
      <c r="G32" s="60">
        <f>0.6*F31*B7</f>
        <v>294.85096137435431</v>
      </c>
    </row>
    <row r="33" spans="1:9" ht="15.75" thickBot="1" x14ac:dyDescent="0.3">
      <c r="A33" s="125" t="s">
        <v>17</v>
      </c>
      <c r="B33" s="126"/>
      <c r="C33" s="127">
        <f>SUM(C26:C31)</f>
        <v>245286.71977800003</v>
      </c>
      <c r="D33" s="127">
        <f>SUM(D26:D31)</f>
        <v>1341.5095114778492</v>
      </c>
      <c r="E33" s="128">
        <f>SUM(E26:E31)</f>
        <v>5542.5406117584353</v>
      </c>
    </row>
    <row r="34" spans="1:9" x14ac:dyDescent="0.25">
      <c r="A34" s="8"/>
      <c r="B34" s="38"/>
      <c r="C34" s="129"/>
      <c r="D34" s="8"/>
    </row>
    <row r="35" spans="1:9" ht="15.75" thickBot="1" x14ac:dyDescent="0.3">
      <c r="A35" s="8"/>
      <c r="B35" s="8"/>
      <c r="C35" s="8"/>
      <c r="D35" s="8"/>
    </row>
    <row r="36" spans="1:9" ht="15.75" thickBot="1" x14ac:dyDescent="0.3">
      <c r="E36" s="286" t="s">
        <v>177</v>
      </c>
      <c r="F36" s="280"/>
      <c r="G36" s="280"/>
      <c r="H36" s="281"/>
      <c r="I36" s="130"/>
    </row>
    <row r="37" spans="1:9" ht="15.75" thickBot="1" x14ac:dyDescent="0.3">
      <c r="E37" s="53" t="s">
        <v>178</v>
      </c>
      <c r="F37" s="54" t="s">
        <v>169</v>
      </c>
      <c r="G37" s="54" t="s">
        <v>170</v>
      </c>
      <c r="H37" s="55" t="s">
        <v>171</v>
      </c>
    </row>
    <row r="38" spans="1:9" x14ac:dyDescent="0.25">
      <c r="D38" s="131" t="s">
        <v>123</v>
      </c>
      <c r="E38" s="132">
        <f t="shared" ref="E38:G44" si="7">E26</f>
        <v>286.821187583869</v>
      </c>
      <c r="F38" s="133">
        <f>F26*1.2</f>
        <v>52.949138502117954</v>
      </c>
      <c r="G38" s="133">
        <f>G26*1.2</f>
        <v>71.481336977859243</v>
      </c>
      <c r="H38" s="17">
        <f>H26*1.2</f>
        <v>35.740668488929622</v>
      </c>
    </row>
    <row r="39" spans="1:9" x14ac:dyDescent="0.25">
      <c r="D39" s="134">
        <v>4</v>
      </c>
      <c r="E39" s="132">
        <f t="shared" si="7"/>
        <v>628.1501416668757</v>
      </c>
      <c r="F39" s="133">
        <f>F27*1.2</f>
        <v>73.629993084784388</v>
      </c>
      <c r="G39" s="133">
        <f t="shared" si="7"/>
        <v>98.173324113045851</v>
      </c>
      <c r="H39" s="17">
        <f>H27*1.2</f>
        <v>94.644662956757131</v>
      </c>
    </row>
    <row r="40" spans="1:9" x14ac:dyDescent="0.25">
      <c r="D40" s="134">
        <v>3</v>
      </c>
      <c r="E40" s="132">
        <f t="shared" si="7"/>
        <v>903.28196526105694</v>
      </c>
      <c r="F40" s="133">
        <f>F28*1.2</f>
        <v>107.40124193987717</v>
      </c>
      <c r="G40" s="133">
        <f t="shared" si="7"/>
        <v>143.20165591983624</v>
      </c>
      <c r="H40" s="17">
        <f>H28*1.2</f>
        <v>144.82498801972926</v>
      </c>
    </row>
    <row r="41" spans="1:9" x14ac:dyDescent="0.25">
      <c r="D41" s="134">
        <v>2</v>
      </c>
      <c r="E41" s="132">
        <f t="shared" si="7"/>
        <v>1118.0332619397057</v>
      </c>
      <c r="F41" s="133">
        <f>F29*1.2</f>
        <v>135.07030207213788</v>
      </c>
      <c r="G41" s="133">
        <f t="shared" si="7"/>
        <v>180.09373609618385</v>
      </c>
      <c r="H41" s="17">
        <f>H29*1.2</f>
        <v>193.97723520961202</v>
      </c>
    </row>
    <row r="42" spans="1:9" x14ac:dyDescent="0.25">
      <c r="D42" s="134">
        <v>1</v>
      </c>
      <c r="E42" s="132">
        <f t="shared" si="7"/>
        <v>1264.7445438290795</v>
      </c>
      <c r="F42" s="133">
        <f>F30*1.2</f>
        <v>152.79458437820128</v>
      </c>
      <c r="G42" s="133">
        <f t="shared" si="7"/>
        <v>203.7261125042684</v>
      </c>
      <c r="H42" s="17">
        <f>H30*1.2</f>
        <v>230.29190916027133</v>
      </c>
    </row>
    <row r="43" spans="1:9" ht="15.75" thickBot="1" x14ac:dyDescent="0.3">
      <c r="D43" s="135" t="s">
        <v>179</v>
      </c>
      <c r="E43" s="132">
        <f t="shared" si="7"/>
        <v>1341.5095114778492</v>
      </c>
      <c r="F43" s="133">
        <f>F31*1.2</f>
        <v>159.3788980401915</v>
      </c>
      <c r="G43" s="136">
        <f t="shared" si="7"/>
        <v>196.56730758290288</v>
      </c>
      <c r="H43" s="17">
        <f>H31*1.2</f>
        <v>240.17605205230277</v>
      </c>
    </row>
    <row r="44" spans="1:9" ht="15.75" thickBot="1" x14ac:dyDescent="0.3">
      <c r="D44" s="137" t="s">
        <v>180</v>
      </c>
      <c r="E44" s="138"/>
      <c r="F44" s="138"/>
      <c r="G44" s="139">
        <f t="shared" si="7"/>
        <v>294.85096137435431</v>
      </c>
      <c r="H44" s="8"/>
    </row>
    <row r="45" spans="1:9" ht="15.75" thickBot="1" x14ac:dyDescent="0.3">
      <c r="E45" s="8"/>
      <c r="F45" s="8"/>
    </row>
    <row r="46" spans="1:9" ht="15.75" thickBot="1" x14ac:dyDescent="0.3">
      <c r="E46" s="287" t="s">
        <v>181</v>
      </c>
      <c r="F46" s="288"/>
      <c r="G46" s="288"/>
      <c r="H46" s="289"/>
    </row>
    <row r="47" spans="1:9" ht="15.75" thickBot="1" x14ac:dyDescent="0.3">
      <c r="E47" s="140" t="s">
        <v>178</v>
      </c>
      <c r="F47" s="141" t="s">
        <v>169</v>
      </c>
      <c r="G47" s="141" t="s">
        <v>170</v>
      </c>
      <c r="H47" s="142" t="s">
        <v>171</v>
      </c>
    </row>
    <row r="48" spans="1:9" x14ac:dyDescent="0.25">
      <c r="D48" s="131" t="s">
        <v>123</v>
      </c>
      <c r="E48" s="143">
        <v>475.61367520889002</v>
      </c>
      <c r="F48" s="38">
        <f t="shared" ref="F48:H53" si="8">F26</f>
        <v>44.124282085098294</v>
      </c>
      <c r="G48" s="38">
        <f t="shared" ref="G48:G53" si="9">G26*1.5</f>
        <v>89.351671222324057</v>
      </c>
      <c r="H48" s="84">
        <f t="shared" si="8"/>
        <v>29.783890407441351</v>
      </c>
    </row>
    <row r="49" spans="1:10" x14ac:dyDescent="0.25">
      <c r="D49" s="134">
        <v>4</v>
      </c>
      <c r="E49" s="143">
        <v>1013.5022063720858</v>
      </c>
      <c r="F49" s="38">
        <f t="shared" si="8"/>
        <v>61.358327570653657</v>
      </c>
      <c r="G49" s="38">
        <f t="shared" si="9"/>
        <v>147.25998616956878</v>
      </c>
      <c r="H49" s="84">
        <f t="shared" si="8"/>
        <v>78.870552463964273</v>
      </c>
    </row>
    <row r="50" spans="1:10" x14ac:dyDescent="0.25">
      <c r="D50" s="134">
        <v>3</v>
      </c>
      <c r="E50" s="143">
        <v>1447.0729617945406</v>
      </c>
      <c r="F50" s="38">
        <f t="shared" si="8"/>
        <v>89.501034949897644</v>
      </c>
      <c r="G50" s="38">
        <f t="shared" si="9"/>
        <v>214.80248387975436</v>
      </c>
      <c r="H50" s="84">
        <f t="shared" si="8"/>
        <v>120.68749001644105</v>
      </c>
    </row>
    <row r="51" spans="1:10" x14ac:dyDescent="0.25">
      <c r="D51" s="134">
        <v>2</v>
      </c>
      <c r="E51" s="143">
        <v>1776.3259414762542</v>
      </c>
      <c r="F51" s="38">
        <f t="shared" si="8"/>
        <v>112.55858506011489</v>
      </c>
      <c r="G51" s="38">
        <f t="shared" si="9"/>
        <v>270.14060414427576</v>
      </c>
      <c r="H51" s="84">
        <f t="shared" si="8"/>
        <v>161.64769600801003</v>
      </c>
    </row>
    <row r="52" spans="1:10" x14ac:dyDescent="0.25">
      <c r="D52" s="134">
        <v>1</v>
      </c>
      <c r="E52" s="143">
        <v>1984.5578170435981</v>
      </c>
      <c r="F52" s="38">
        <f t="shared" si="8"/>
        <v>127.32882031516775</v>
      </c>
      <c r="G52" s="38">
        <f t="shared" si="9"/>
        <v>305.58916875640261</v>
      </c>
      <c r="H52" s="84">
        <f t="shared" si="8"/>
        <v>191.90992430022612</v>
      </c>
    </row>
    <row r="53" spans="1:10" ht="15.75" thickBot="1" x14ac:dyDescent="0.3">
      <c r="D53" s="135" t="s">
        <v>179</v>
      </c>
      <c r="E53" s="144">
        <v>2096.2183879999998</v>
      </c>
      <c r="F53" s="144">
        <f t="shared" si="8"/>
        <v>132.81574836682626</v>
      </c>
      <c r="G53" s="38">
        <f t="shared" si="9"/>
        <v>294.85096137435431</v>
      </c>
      <c r="H53" s="83">
        <f t="shared" si="8"/>
        <v>200.14671004358564</v>
      </c>
    </row>
    <row r="54" spans="1:10" ht="15.75" thickBot="1" x14ac:dyDescent="0.3">
      <c r="D54" s="137" t="s">
        <v>180</v>
      </c>
      <c r="E54" s="145"/>
      <c r="F54" s="145"/>
      <c r="G54" s="146">
        <f>0.6*F53*B7</f>
        <v>294.85096137435431</v>
      </c>
      <c r="H54" s="145"/>
    </row>
    <row r="56" spans="1:10" ht="15.75" thickBot="1" x14ac:dyDescent="0.3"/>
    <row r="57" spans="1:10" ht="15.75" thickBot="1" x14ac:dyDescent="0.3">
      <c r="A57" s="251" t="s">
        <v>182</v>
      </c>
      <c r="B57" s="252"/>
      <c r="C57" s="252"/>
      <c r="D57" s="252"/>
      <c r="E57" s="252"/>
      <c r="F57" s="252"/>
      <c r="G57" s="253"/>
    </row>
    <row r="58" spans="1:10" ht="15.75" thickBot="1" x14ac:dyDescent="0.3">
      <c r="A58" s="103"/>
      <c r="B58" s="103"/>
      <c r="C58" s="103"/>
      <c r="D58" s="103"/>
      <c r="E58" s="103"/>
      <c r="F58" s="103"/>
      <c r="G58" s="103"/>
    </row>
    <row r="59" spans="1:10" ht="15.75" thickBot="1" x14ac:dyDescent="0.3">
      <c r="A59" s="241" t="s">
        <v>120</v>
      </c>
      <c r="B59" s="148" t="s">
        <v>183</v>
      </c>
      <c r="C59" s="148" t="s">
        <v>184</v>
      </c>
      <c r="D59" s="148" t="s">
        <v>185</v>
      </c>
      <c r="E59" s="148" t="s">
        <v>174</v>
      </c>
      <c r="F59" s="148" t="s">
        <v>186</v>
      </c>
      <c r="G59" s="241" t="s">
        <v>187</v>
      </c>
    </row>
    <row r="60" spans="1:10" x14ac:dyDescent="0.25">
      <c r="A60" s="149" t="s">
        <v>123</v>
      </c>
      <c r="B60" s="169">
        <f t="shared" ref="B60:B66" si="10">G48</f>
        <v>89.351671222324057</v>
      </c>
      <c r="C60" s="82">
        <f>'carichi unitari'!B167</f>
        <v>276.54534348000004</v>
      </c>
      <c r="D60" s="82">
        <f>'carichi unitari'!C167</f>
        <v>80.888311980000012</v>
      </c>
      <c r="E60" s="82">
        <f t="shared" ref="E60:E65" si="11">K26</f>
        <v>9.9279634691471177</v>
      </c>
      <c r="F60" s="170">
        <f t="shared" ref="F60:F65" si="12">C60+E60</f>
        <v>286.47330694914717</v>
      </c>
      <c r="G60" s="171">
        <f t="shared" ref="G60:G65" si="13">D60-E60</f>
        <v>70.960348510852896</v>
      </c>
    </row>
    <row r="61" spans="1:10" x14ac:dyDescent="0.25">
      <c r="A61" s="6">
        <v>4</v>
      </c>
      <c r="B61" s="172">
        <f t="shared" si="10"/>
        <v>147.25998616956878</v>
      </c>
      <c r="C61" s="38">
        <f>'carichi unitari'!B168</f>
        <v>291.84314348000004</v>
      </c>
      <c r="D61" s="38">
        <f>'carichi unitari'!C168</f>
        <v>96.186111980000007</v>
      </c>
      <c r="E61" s="38">
        <f t="shared" si="11"/>
        <v>36.218147623801876</v>
      </c>
      <c r="F61" s="150">
        <f t="shared" si="12"/>
        <v>328.06129110380192</v>
      </c>
      <c r="G61" s="151">
        <f t="shared" si="13"/>
        <v>59.967964356198131</v>
      </c>
    </row>
    <row r="62" spans="1:10" x14ac:dyDescent="0.25">
      <c r="A62" s="6">
        <v>3</v>
      </c>
      <c r="B62" s="172">
        <f t="shared" si="10"/>
        <v>214.80248387975436</v>
      </c>
      <c r="C62" s="38">
        <f>'carichi unitari'!B169</f>
        <v>583.68628696000007</v>
      </c>
      <c r="D62" s="38">
        <f>'carichi unitari'!C169</f>
        <v>192.37222396000001</v>
      </c>
      <c r="E62" s="38">
        <f t="shared" si="11"/>
        <v>76.44731096261556</v>
      </c>
      <c r="F62" s="150">
        <f t="shared" si="12"/>
        <v>660.13359792261565</v>
      </c>
      <c r="G62" s="151">
        <f t="shared" si="13"/>
        <v>115.92491299738445</v>
      </c>
    </row>
    <row r="63" spans="1:10" x14ac:dyDescent="0.25">
      <c r="A63" s="6">
        <v>2</v>
      </c>
      <c r="B63" s="172">
        <f t="shared" si="10"/>
        <v>270.14060414427576</v>
      </c>
      <c r="C63" s="38">
        <f>'carichi unitari'!B170</f>
        <v>875.52943044000017</v>
      </c>
      <c r="D63" s="38">
        <f>'carichi unitari'!C170</f>
        <v>288.55833594000001</v>
      </c>
      <c r="E63" s="38">
        <f t="shared" si="11"/>
        <v>130.3298762986189</v>
      </c>
      <c r="F63" s="150">
        <f t="shared" si="12"/>
        <v>1005.8593067386191</v>
      </c>
      <c r="G63" s="151">
        <f t="shared" si="13"/>
        <v>158.22845964138111</v>
      </c>
    </row>
    <row r="64" spans="1:10" x14ac:dyDescent="0.25">
      <c r="A64" s="6">
        <v>1</v>
      </c>
      <c r="B64" s="173">
        <f t="shared" si="10"/>
        <v>305.58916875640261</v>
      </c>
      <c r="C64" s="38">
        <f>'carichi unitari'!B171</f>
        <v>1167.3725739200001</v>
      </c>
      <c r="D64" s="38">
        <f>'carichi unitari'!C171</f>
        <v>384.74444792000003</v>
      </c>
      <c r="E64" s="38">
        <f t="shared" si="11"/>
        <v>194.29985106536094</v>
      </c>
      <c r="F64" s="150">
        <f t="shared" si="12"/>
        <v>1361.672424985361</v>
      </c>
      <c r="G64" s="152">
        <f t="shared" si="13"/>
        <v>190.44459685463909</v>
      </c>
      <c r="I64" s="8"/>
      <c r="J64" s="8"/>
    </row>
    <row r="65" spans="1:10" ht="15.75" thickBot="1" x14ac:dyDescent="0.3">
      <c r="A65" s="149" t="s">
        <v>188</v>
      </c>
      <c r="B65" s="174">
        <f t="shared" si="10"/>
        <v>294.85096137435431</v>
      </c>
      <c r="C65" s="144">
        <f>'carichi unitari'!B172</f>
        <v>1459.2157174000001</v>
      </c>
      <c r="D65" s="144">
        <f>'carichi unitari'!C172</f>
        <v>480.93055990000005</v>
      </c>
      <c r="E65" s="144">
        <f t="shared" si="11"/>
        <v>261.01542107988951</v>
      </c>
      <c r="F65" s="153">
        <f t="shared" si="12"/>
        <v>1720.2311384798895</v>
      </c>
      <c r="G65" s="154">
        <f t="shared" si="13"/>
        <v>219.91513882011054</v>
      </c>
      <c r="I65" s="8"/>
      <c r="J65" s="8"/>
    </row>
    <row r="66" spans="1:10" ht="15.75" thickBot="1" x14ac:dyDescent="0.3">
      <c r="A66" s="13" t="s">
        <v>189</v>
      </c>
      <c r="B66" s="83">
        <f t="shared" si="10"/>
        <v>294.85096137435431</v>
      </c>
      <c r="C66" s="38"/>
      <c r="D66" s="8"/>
      <c r="E66" s="8"/>
      <c r="F66" s="8"/>
      <c r="G66" s="8"/>
    </row>
    <row r="67" spans="1:10" ht="15.75" customHeight="1" thickBot="1" x14ac:dyDescent="0.3">
      <c r="C67" s="8"/>
      <c r="D67" s="8"/>
      <c r="G67" s="8"/>
      <c r="H67" s="8"/>
      <c r="I67" s="8"/>
      <c r="J67" s="8"/>
    </row>
    <row r="68" spans="1:10" ht="15.75" thickBot="1" x14ac:dyDescent="0.3">
      <c r="A68" s="69" t="s">
        <v>190</v>
      </c>
      <c r="B68" s="71">
        <v>391.3</v>
      </c>
      <c r="D68" s="77" t="s">
        <v>191</v>
      </c>
      <c r="E68" s="77">
        <v>30</v>
      </c>
      <c r="G68" s="8"/>
      <c r="H68" s="38"/>
      <c r="I68" s="8"/>
      <c r="J68" s="8"/>
    </row>
    <row r="69" spans="1:10" ht="15.75" thickBot="1" x14ac:dyDescent="0.3">
      <c r="A69" s="12" t="s">
        <v>192</v>
      </c>
      <c r="B69" s="13">
        <v>14.17</v>
      </c>
      <c r="G69" s="8"/>
      <c r="H69" s="8"/>
      <c r="I69" s="8"/>
      <c r="J69" s="8"/>
    </row>
    <row r="70" spans="1:10" ht="15.75" thickBot="1" x14ac:dyDescent="0.3">
      <c r="G70" s="8"/>
      <c r="H70" s="8"/>
      <c r="I70" s="8"/>
      <c r="J70" s="8"/>
    </row>
    <row r="71" spans="1:10" ht="15.75" thickBot="1" x14ac:dyDescent="0.3">
      <c r="A71" s="290" t="s">
        <v>193</v>
      </c>
      <c r="B71" s="291"/>
      <c r="C71" s="292"/>
      <c r="G71" s="8"/>
      <c r="H71" s="8"/>
      <c r="I71" s="8"/>
      <c r="J71" s="8"/>
    </row>
    <row r="72" spans="1:10" ht="15.75" thickBot="1" x14ac:dyDescent="0.3">
      <c r="G72" s="8"/>
      <c r="H72" s="8"/>
      <c r="I72" s="8"/>
      <c r="J72" s="8"/>
    </row>
    <row r="73" spans="1:10" x14ac:dyDescent="0.25">
      <c r="A73" s="155" t="s">
        <v>194</v>
      </c>
      <c r="B73" s="156">
        <f>B64</f>
        <v>305.58916875640261</v>
      </c>
      <c r="C73" s="157" t="s">
        <v>195</v>
      </c>
      <c r="E73" t="s">
        <v>196</v>
      </c>
    </row>
    <row r="74" spans="1:10" ht="15.75" thickBot="1" x14ac:dyDescent="0.3">
      <c r="A74" s="158" t="s">
        <v>197</v>
      </c>
      <c r="B74" s="159">
        <f>G64</f>
        <v>190.44459685463909</v>
      </c>
      <c r="C74" s="160" t="s">
        <v>164</v>
      </c>
    </row>
    <row r="75" spans="1:10" ht="15.75" thickBot="1" x14ac:dyDescent="0.3"/>
    <row r="76" spans="1:10" x14ac:dyDescent="0.25">
      <c r="A76" s="155" t="s">
        <v>194</v>
      </c>
      <c r="B76" s="156">
        <f>B65</f>
        <v>294.85096137435431</v>
      </c>
      <c r="C76" s="157" t="s">
        <v>195</v>
      </c>
    </row>
    <row r="77" spans="1:10" ht="15.75" thickBot="1" x14ac:dyDescent="0.3">
      <c r="A77" s="158" t="s">
        <v>197</v>
      </c>
      <c r="B77" s="159">
        <f>F65</f>
        <v>1720.2311384798895</v>
      </c>
      <c r="C77" s="160" t="s">
        <v>164</v>
      </c>
    </row>
    <row r="78" spans="1:10" x14ac:dyDescent="0.25">
      <c r="A78" s="8"/>
      <c r="B78" s="38"/>
    </row>
    <row r="79" spans="1:10" x14ac:dyDescent="0.25">
      <c r="A79" s="8"/>
      <c r="B79" s="38"/>
    </row>
    <row r="104" spans="1:8" ht="15.75" thickBot="1" x14ac:dyDescent="0.3"/>
    <row r="105" spans="1:8" ht="15.75" thickBot="1" x14ac:dyDescent="0.3">
      <c r="A105" s="251" t="s">
        <v>198</v>
      </c>
      <c r="B105" s="280"/>
      <c r="C105" s="280"/>
      <c r="D105" s="280"/>
      <c r="E105" s="281"/>
    </row>
    <row r="108" spans="1:8" ht="15.75" thickBot="1" x14ac:dyDescent="0.3"/>
    <row r="109" spans="1:8" ht="15.75" thickBot="1" x14ac:dyDescent="0.3">
      <c r="A109" s="18"/>
      <c r="B109" s="77" t="s">
        <v>206</v>
      </c>
      <c r="C109" s="77" t="s">
        <v>205</v>
      </c>
      <c r="D109" s="77" t="s">
        <v>199</v>
      </c>
      <c r="E109" s="77" t="s">
        <v>200</v>
      </c>
      <c r="F109" s="77" t="s">
        <v>201</v>
      </c>
      <c r="G109" s="19" t="s">
        <v>210</v>
      </c>
    </row>
    <row r="110" spans="1:8" ht="15.75" thickBot="1" x14ac:dyDescent="0.3">
      <c r="A110" s="5" t="s">
        <v>123</v>
      </c>
      <c r="B110" s="143">
        <f>'carichi unitari'!$E$119*'carichi unitari'!$B$115^2/10</f>
        <v>140.03997120000002</v>
      </c>
      <c r="C110" s="176">
        <f t="shared" ref="C110:C115" si="14">H48</f>
        <v>29.783890407441351</v>
      </c>
      <c r="D110" s="176">
        <f t="shared" ref="D110:D115" si="15">B110+C110</f>
        <v>169.82386160744139</v>
      </c>
      <c r="E110" s="179">
        <v>25</v>
      </c>
      <c r="F110" s="179">
        <v>0.3</v>
      </c>
      <c r="G110" s="84">
        <f t="shared" ref="G110:G115" si="16">0.018*SQRT(D110/F110)</f>
        <v>0.42826366940943827</v>
      </c>
      <c r="H110" s="180" t="s">
        <v>209</v>
      </c>
    </row>
    <row r="111" spans="1:8" ht="15.75" thickBot="1" x14ac:dyDescent="0.3">
      <c r="A111" s="5">
        <v>5</v>
      </c>
      <c r="B111" s="161">
        <f>'carichi unitari'!$E$119*'carichi unitari'!$B$115^2/10</f>
        <v>140.03997120000002</v>
      </c>
      <c r="C111" s="177">
        <f t="shared" si="14"/>
        <v>78.870552463964273</v>
      </c>
      <c r="D111" s="177">
        <f t="shared" si="15"/>
        <v>218.91052366396428</v>
      </c>
      <c r="E111" s="14">
        <v>25</v>
      </c>
      <c r="F111" s="14">
        <v>0.3</v>
      </c>
      <c r="G111" s="84">
        <f t="shared" si="16"/>
        <v>0.48623385891675769</v>
      </c>
      <c r="H111" s="180" t="s">
        <v>208</v>
      </c>
    </row>
    <row r="112" spans="1:8" ht="15.75" thickBot="1" x14ac:dyDescent="0.3">
      <c r="A112" s="5">
        <v>4</v>
      </c>
      <c r="B112" s="161">
        <f>'carichi unitari'!$E$119*'carichi unitari'!$B$115^2/10</f>
        <v>140.03997120000002</v>
      </c>
      <c r="C112" s="177">
        <f t="shared" si="14"/>
        <v>120.68749001644105</v>
      </c>
      <c r="D112" s="177">
        <f t="shared" si="15"/>
        <v>260.72746121644104</v>
      </c>
      <c r="E112" s="14">
        <v>25</v>
      </c>
      <c r="F112" s="14">
        <v>0.3</v>
      </c>
      <c r="G112" s="84">
        <f t="shared" si="16"/>
        <v>0.53064645303041114</v>
      </c>
      <c r="H112" s="180" t="s">
        <v>208</v>
      </c>
    </row>
    <row r="113" spans="1:8" ht="15.75" thickBot="1" x14ac:dyDescent="0.3">
      <c r="A113" s="5">
        <v>3</v>
      </c>
      <c r="B113" s="161">
        <f>'carichi unitari'!$E$119*'carichi unitari'!$B$115^2/10</f>
        <v>140.03997120000002</v>
      </c>
      <c r="C113" s="177">
        <f t="shared" si="14"/>
        <v>161.64769600801003</v>
      </c>
      <c r="D113" s="177">
        <f t="shared" si="15"/>
        <v>301.68766720801005</v>
      </c>
      <c r="E113" s="14">
        <v>25</v>
      </c>
      <c r="F113" s="14">
        <v>0.3</v>
      </c>
      <c r="G113" s="84">
        <f t="shared" si="16"/>
        <v>0.57080879511851501</v>
      </c>
      <c r="H113" s="180" t="s">
        <v>207</v>
      </c>
    </row>
    <row r="114" spans="1:8" ht="15.75" thickBot="1" x14ac:dyDescent="0.3">
      <c r="A114" s="5">
        <v>2</v>
      </c>
      <c r="B114" s="161">
        <f>'carichi unitari'!$E$119*'carichi unitari'!$B$115^2/10</f>
        <v>140.03997120000002</v>
      </c>
      <c r="C114" s="177">
        <f t="shared" si="14"/>
        <v>191.90992430022612</v>
      </c>
      <c r="D114" s="177">
        <f t="shared" si="15"/>
        <v>331.94989550022615</v>
      </c>
      <c r="E114" s="14">
        <v>25</v>
      </c>
      <c r="F114" s="14">
        <v>0.3</v>
      </c>
      <c r="G114" s="84">
        <f t="shared" si="16"/>
        <v>0.5987536113797095</v>
      </c>
      <c r="H114" s="180" t="s">
        <v>207</v>
      </c>
    </row>
    <row r="115" spans="1:8" ht="15.75" thickBot="1" x14ac:dyDescent="0.3">
      <c r="A115" s="12" t="s">
        <v>202</v>
      </c>
      <c r="B115" s="175">
        <f>'carichi unitari'!$E$119*'carichi unitari'!$B$115^2/10</f>
        <v>140.03997120000002</v>
      </c>
      <c r="C115" s="178">
        <f t="shared" si="14"/>
        <v>200.14671004358564</v>
      </c>
      <c r="D115" s="178">
        <f t="shared" si="15"/>
        <v>340.18668124358567</v>
      </c>
      <c r="E115" s="20">
        <v>25</v>
      </c>
      <c r="F115" s="20">
        <v>0.3</v>
      </c>
      <c r="G115" s="83">
        <f t="shared" si="16"/>
        <v>0.60613663124997852</v>
      </c>
      <c r="H115" s="180" t="s">
        <v>207</v>
      </c>
    </row>
  </sheetData>
  <mergeCells count="7">
    <mergeCell ref="A105:E105"/>
    <mergeCell ref="A8:D8"/>
    <mergeCell ref="A22:E22"/>
    <mergeCell ref="E36:H36"/>
    <mergeCell ref="E46:H46"/>
    <mergeCell ref="A57:G57"/>
    <mergeCell ref="A71:C7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carichi unitari</vt:lpstr>
      <vt:lpstr>caratteristiche della sollecita</vt:lpstr>
      <vt:lpstr>rigidezza</vt:lpstr>
      <vt:lpstr>Bilanciamento</vt:lpstr>
      <vt:lpstr>Periodo_proprio</vt:lpstr>
      <vt:lpstr>sollecitazioni nuovo periodo_x</vt:lpstr>
      <vt:lpstr>sollecitzioninuovo periodo_y</vt:lpstr>
      <vt:lpstr>sollecitazioni_tel_x</vt:lpstr>
      <vt:lpstr>sollecitazioni_tel_y</vt:lpstr>
      <vt:lpstr>Periodo_tel</vt:lpstr>
      <vt:lpstr>coppie per eccentricità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Samsung</cp:lastModifiedBy>
  <dcterms:created xsi:type="dcterms:W3CDTF">2016-12-09T14:53:19Z</dcterms:created>
  <dcterms:modified xsi:type="dcterms:W3CDTF">2017-02-14T08:45:16Z</dcterms:modified>
</cp:coreProperties>
</file>