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__000\Desktop\PROGETTO\"/>
    </mc:Choice>
  </mc:AlternateContent>
  <bookViews>
    <workbookView minimized="1" xWindow="0" yWindow="0" windowWidth="16815" windowHeight="775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52511"/>
  <fileRecoveryPr repairLoad="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N129" i="18"/>
  <c r="F129" i="18"/>
  <c r="K128" i="18"/>
  <c r="E97" i="18"/>
  <c r="L23" i="18"/>
  <c r="E128" i="18"/>
  <c r="N97" i="18"/>
  <c r="F97" i="18"/>
  <c r="F128" i="18"/>
  <c r="F5" i="20" l="1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L13" i="18"/>
  <c r="R23" i="19"/>
  <c r="S23" i="19"/>
  <c r="T23" i="19"/>
  <c r="I129" i="18"/>
  <c r="K13" i="18"/>
  <c r="I37" i="20"/>
  <c r="M37" i="20"/>
  <c r="Q37" i="20"/>
  <c r="F38" i="20"/>
  <c r="J38" i="20"/>
  <c r="N38" i="20"/>
  <c r="E38" i="20"/>
  <c r="T4" i="19" s="1"/>
  <c r="C37" i="20"/>
  <c r="S2" i="19" s="1"/>
  <c r="J37" i="20"/>
  <c r="K38" i="20"/>
  <c r="G37" i="20"/>
  <c r="K37" i="20"/>
  <c r="O37" i="20"/>
  <c r="H38" i="20"/>
  <c r="L38" i="20"/>
  <c r="P38" i="20"/>
  <c r="D38" i="20"/>
  <c r="T3" i="19" s="1"/>
  <c r="C36" i="20"/>
  <c r="N37" i="20"/>
  <c r="G38" i="20"/>
  <c r="D37" i="20"/>
  <c r="S3" i="19" s="1"/>
  <c r="H37" i="20"/>
  <c r="L37" i="20"/>
  <c r="P37" i="20"/>
  <c r="I38" i="20"/>
  <c r="M38" i="20"/>
  <c r="Q38" i="20"/>
  <c r="E37" i="20"/>
  <c r="S4" i="19" s="1"/>
  <c r="C38" i="20"/>
  <c r="T2" i="19" s="1"/>
  <c r="F37" i="20"/>
  <c r="O38" i="20"/>
  <c r="D44" i="20"/>
  <c r="N36" i="20"/>
  <c r="J36" i="20"/>
  <c r="G36" i="20"/>
  <c r="P36" i="20"/>
  <c r="O36" i="20"/>
  <c r="M36" i="20"/>
  <c r="K36" i="20"/>
  <c r="D36" i="20"/>
  <c r="Q36" i="20"/>
  <c r="H36" i="20"/>
  <c r="L36" i="20"/>
  <c r="I36" i="20"/>
  <c r="F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6" i="18"/>
  <c r="B12" i="18"/>
  <c r="B15" i="18" s="1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R4" i="19"/>
  <c r="L4" i="20"/>
  <c r="M4" i="20"/>
  <c r="R28" i="19" l="1"/>
  <c r="S28" i="19"/>
  <c r="T28" i="19"/>
  <c r="R25" i="19"/>
  <c r="S25" i="19"/>
  <c r="T25" i="19"/>
  <c r="R22" i="19"/>
  <c r="S22" i="19"/>
  <c r="T22" i="19"/>
  <c r="R29" i="19"/>
  <c r="S29" i="19"/>
  <c r="T29" i="19"/>
  <c r="R30" i="19"/>
  <c r="S30" i="19"/>
  <c r="T30" i="19"/>
  <c r="R21" i="19"/>
  <c r="S21" i="19"/>
  <c r="T21" i="19"/>
  <c r="R24" i="19"/>
  <c r="S24" i="19"/>
  <c r="T24" i="19"/>
  <c r="R26" i="19"/>
  <c r="S26" i="19"/>
  <c r="T26" i="19"/>
  <c r="R20" i="19"/>
  <c r="S20" i="19"/>
  <c r="T20" i="19"/>
  <c r="R31" i="19"/>
  <c r="S31" i="19"/>
  <c r="T31" i="19"/>
  <c r="R27" i="19"/>
  <c r="S27" i="19"/>
  <c r="T27" i="19"/>
  <c r="Q6" i="19"/>
  <c r="S5" i="19"/>
  <c r="T5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6" i="19"/>
  <c r="T6" i="19"/>
  <c r="S5" i="20"/>
  <c r="R38" i="20"/>
  <c r="R37" i="20"/>
  <c r="R36" i="20"/>
  <c r="R4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S8" i="19" l="1"/>
  <c r="T8" i="19"/>
  <c r="T5" i="20"/>
  <c r="S37" i="20"/>
  <c r="S4" i="20"/>
  <c r="S36" i="20"/>
  <c r="S38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C33" i="18" s="1"/>
  <c r="AF9" i="20"/>
  <c r="R31" i="18"/>
  <c r="I9" i="20"/>
  <c r="H9" i="20"/>
  <c r="AE9" i="20"/>
  <c r="G9" i="20"/>
  <c r="B19" i="18"/>
  <c r="L25" i="18" s="1"/>
  <c r="R8" i="19"/>
  <c r="Q9" i="19"/>
  <c r="S9" i="19" l="1"/>
  <c r="T9" i="19"/>
  <c r="U5" i="20"/>
  <c r="T37" i="20"/>
  <c r="T38" i="20"/>
  <c r="T36" i="20"/>
  <c r="T4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A11" i="20" s="1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G34" i="18"/>
  <c r="G68" i="18" s="1"/>
  <c r="S34" i="18"/>
  <c r="R33" i="18"/>
  <c r="C67" i="18"/>
  <c r="S68" i="18" s="1"/>
  <c r="R34" i="18"/>
  <c r="P34" i="18"/>
  <c r="Q34" i="18"/>
  <c r="Q33" i="18"/>
  <c r="P33" i="18"/>
  <c r="G33" i="18"/>
  <c r="G67" i="18" s="1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Q11" i="19" l="1"/>
  <c r="S10" i="19"/>
  <c r="T10" i="19"/>
  <c r="V5" i="20"/>
  <c r="U37" i="20"/>
  <c r="U38" i="20"/>
  <c r="U36" i="20"/>
  <c r="U4" i="20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Q67" i="18"/>
  <c r="P68" i="18"/>
  <c r="P67" i="18"/>
  <c r="Q68" i="18"/>
  <c r="S67" i="18"/>
  <c r="R67" i="18"/>
  <c r="R68" i="18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0" i="19"/>
  <c r="W5" i="20" l="1"/>
  <c r="V36" i="20"/>
  <c r="V4" i="20"/>
  <c r="V37" i="20"/>
  <c r="V38" i="20"/>
  <c r="S12" i="19"/>
  <c r="T12" i="19"/>
  <c r="S11" i="19"/>
  <c r="T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38" i="20"/>
  <c r="W37" i="20"/>
  <c r="W36" i="20"/>
  <c r="W4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14" i="19" l="1"/>
  <c r="T14" i="19"/>
  <c r="Y5" i="20"/>
  <c r="X38" i="20"/>
  <c r="X4" i="20"/>
  <c r="X36" i="20"/>
  <c r="X37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C15" i="20" s="1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P15" i="20" l="1"/>
  <c r="Z5" i="20"/>
  <c r="Y37" i="20"/>
  <c r="Y38" i="20"/>
  <c r="Y36" i="20"/>
  <c r="Y4" i="20"/>
  <c r="S15" i="19"/>
  <c r="T15" i="19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F16" i="20" l="1"/>
  <c r="Q17" i="19"/>
  <c r="S16" i="19"/>
  <c r="T16" i="19"/>
  <c r="AA5" i="20"/>
  <c r="Z38" i="20"/>
  <c r="Z37" i="20"/>
  <c r="Z36" i="20"/>
  <c r="Z4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H17" i="20" s="1"/>
  <c r="BG55" i="20"/>
  <c r="AY55" i="20"/>
  <c r="S55" i="20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Q17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R17" i="19"/>
  <c r="Q18" i="19"/>
  <c r="R16" i="19"/>
  <c r="C72" i="18"/>
  <c r="E37" i="18"/>
  <c r="F37" i="18"/>
  <c r="L36" i="18" s="1"/>
  <c r="I17" i="20" l="1"/>
  <c r="J17" i="20"/>
  <c r="G17" i="20"/>
  <c r="P17" i="20"/>
  <c r="AB5" i="20"/>
  <c r="AA4" i="20"/>
  <c r="AA38" i="20"/>
  <c r="AA36" i="20"/>
  <c r="AA37" i="20"/>
  <c r="S18" i="19"/>
  <c r="T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C18" i="20" s="1"/>
  <c r="C41" i="18"/>
  <c r="E40" i="18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S19" i="19" l="1"/>
  <c r="T19" i="19"/>
  <c r="AC5" i="20"/>
  <c r="AB36" i="20"/>
  <c r="AB38" i="20"/>
  <c r="AB4" i="20"/>
  <c r="AB37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19" i="20" s="1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C42" i="18" l="1"/>
  <c r="P43" i="18" s="1"/>
  <c r="AC37" i="20"/>
  <c r="AC38" i="20"/>
  <c r="AC36" i="20"/>
  <c r="AD5" i="20"/>
  <c r="AC4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I20" i="20" s="1"/>
  <c r="T58" i="20"/>
  <c r="AV58" i="20"/>
  <c r="AJ58" i="20"/>
  <c r="H58" i="20"/>
  <c r="AF58" i="20"/>
  <c r="AZ58" i="20"/>
  <c r="AB58" i="20"/>
  <c r="AN58" i="20"/>
  <c r="AR58" i="20"/>
  <c r="L58" i="20"/>
  <c r="BH58" i="20"/>
  <c r="Q43" i="18"/>
  <c r="R42" i="18"/>
  <c r="S43" i="18"/>
  <c r="G43" i="18"/>
  <c r="G77" i="18" s="1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R43" i="18" l="1"/>
  <c r="C76" i="18"/>
  <c r="Q76" i="18" s="1"/>
  <c r="G42" i="18"/>
  <c r="G76" i="18" s="1"/>
  <c r="P42" i="18"/>
  <c r="Q42" i="18"/>
  <c r="S42" i="18"/>
  <c r="AE5" i="20"/>
  <c r="AD38" i="20"/>
  <c r="AD36" i="20"/>
  <c r="AD37" i="20"/>
  <c r="AD4" i="20"/>
  <c r="S76" i="18"/>
  <c r="U20" i="20"/>
  <c r="AE20" i="20"/>
  <c r="C43" i="18"/>
  <c r="C77" i="18" s="1"/>
  <c r="R76" i="18"/>
  <c r="Q77" i="18"/>
  <c r="P77" i="18"/>
  <c r="S77" i="18"/>
  <c r="R77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P76" i="18" l="1"/>
  <c r="R21" i="20"/>
  <c r="AF5" i="20"/>
  <c r="AE38" i="20"/>
  <c r="AE36" i="20"/>
  <c r="AE37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AE22" i="20"/>
  <c r="F60" i="20"/>
  <c r="A62" i="20"/>
  <c r="V40" i="18"/>
  <c r="V39" i="18"/>
  <c r="AF37" i="20" l="1"/>
  <c r="AF36" i="20"/>
  <c r="AF38" i="20"/>
  <c r="AF4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P23" i="20" s="1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J42" i="18" l="1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47" i="18" l="1"/>
  <c r="C81" i="18" s="1"/>
  <c r="Q79" i="18"/>
  <c r="R79" i="18"/>
  <c r="P79" i="18"/>
  <c r="P80" i="18"/>
  <c r="Q80" i="18"/>
  <c r="S79" i="18"/>
  <c r="R80" i="18"/>
  <c r="T42" i="18"/>
  <c r="T43" i="18"/>
  <c r="U43" i="18"/>
  <c r="U42" i="18"/>
  <c r="E46" i="18"/>
  <c r="D46" i="18"/>
  <c r="F46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N64" i="20"/>
  <c r="BB64" i="20"/>
  <c r="AL64" i="20"/>
  <c r="BF64" i="20"/>
  <c r="AH64" i="20"/>
  <c r="AX64" i="20"/>
  <c r="Z64" i="20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O26" i="20"/>
  <c r="M26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V42" i="18" l="1"/>
  <c r="L46" i="18"/>
  <c r="V43" i="18"/>
  <c r="H46" i="18"/>
  <c r="H45" i="18"/>
  <c r="L45" i="18"/>
  <c r="N46" i="18"/>
  <c r="I45" i="18"/>
  <c r="M46" i="18"/>
  <c r="O46" i="18"/>
  <c r="J45" i="18"/>
  <c r="K46" i="18"/>
  <c r="N45" i="18"/>
  <c r="M45" i="18"/>
  <c r="I46" i="18"/>
  <c r="J46" i="18"/>
  <c r="O45" i="18"/>
  <c r="K45" i="18"/>
  <c r="AZ65" i="20"/>
  <c r="AB27" i="20" s="1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BA65" i="20"/>
  <c r="AW65" i="20"/>
  <c r="AM65" i="20"/>
  <c r="X65" i="20"/>
  <c r="N27" i="20" s="1"/>
  <c r="R65" i="20"/>
  <c r="K27" i="20" s="1"/>
  <c r="M65" i="20"/>
  <c r="BI65" i="20"/>
  <c r="AT65" i="20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AH65" i="20"/>
  <c r="S27" i="20" s="1"/>
  <c r="AC65" i="20"/>
  <c r="N65" i="20"/>
  <c r="I27" i="20" s="1"/>
  <c r="I65" i="20"/>
  <c r="O65" i="20"/>
  <c r="BC65" i="20"/>
  <c r="AY65" i="20"/>
  <c r="AL65" i="20"/>
  <c r="AG65" i="20"/>
  <c r="AA65" i="20"/>
  <c r="L65" i="20"/>
  <c r="H27" i="20" s="1"/>
  <c r="AK65" i="20"/>
  <c r="P65" i="20"/>
  <c r="J27" i="20" s="1"/>
  <c r="J65" i="20"/>
  <c r="G27" i="20" s="1"/>
  <c r="W65" i="20"/>
  <c r="AF65" i="20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Q27" i="20"/>
  <c r="C65" i="20"/>
  <c r="C27" i="20"/>
  <c r="T27" i="20"/>
  <c r="R27" i="20"/>
  <c r="Y27" i="20"/>
  <c r="B27" i="20"/>
  <c r="B51" i="18" s="1"/>
  <c r="B85" i="18" s="1"/>
  <c r="C67" i="20"/>
  <c r="V27" i="20"/>
  <c r="U27" i="20"/>
  <c r="AD27" i="20"/>
  <c r="A66" i="20"/>
  <c r="C66" i="20"/>
  <c r="AC27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T45" i="18" l="1"/>
  <c r="U45" i="18"/>
  <c r="U46" i="18"/>
  <c r="T46" i="18"/>
  <c r="BJ66" i="20"/>
  <c r="BF66" i="20"/>
  <c r="AE28" i="20" s="1"/>
  <c r="BB66" i="20"/>
  <c r="AX66" i="20"/>
  <c r="AA28" i="20" s="1"/>
  <c r="AT66" i="20"/>
  <c r="Y28" i="20" s="1"/>
  <c r="AP66" i="20"/>
  <c r="W28" i="20" s="1"/>
  <c r="AL66" i="20"/>
  <c r="AH66" i="20"/>
  <c r="S28" i="20" s="1"/>
  <c r="AD66" i="20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F28" i="20"/>
  <c r="C28" i="20"/>
  <c r="U28" i="20"/>
  <c r="Q28" i="20"/>
  <c r="A67" i="20"/>
  <c r="AC28" i="20"/>
  <c r="V45" i="18" l="1"/>
  <c r="V46" i="18"/>
  <c r="BJ67" i="20"/>
  <c r="BB67" i="20"/>
  <c r="AC29" i="20" s="1"/>
  <c r="AX67" i="20"/>
  <c r="AA29" i="20" s="1"/>
  <c r="BF67" i="20"/>
  <c r="AE29" i="20" s="1"/>
  <c r="AT67" i="20"/>
  <c r="Y29" i="20" s="1"/>
  <c r="BH67" i="20"/>
  <c r="AF29" i="20" s="1"/>
  <c r="BD67" i="20"/>
  <c r="AD29" i="20" s="1"/>
  <c r="AZ67" i="20"/>
  <c r="AB29" i="20" s="1"/>
  <c r="BC67" i="20"/>
  <c r="AY67" i="20"/>
  <c r="AO67" i="20"/>
  <c r="Z67" i="20"/>
  <c r="O29" i="20" s="1"/>
  <c r="T67" i="20"/>
  <c r="L29" i="20" s="1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AF67" i="20"/>
  <c r="R29" i="20" s="1"/>
  <c r="AA67" i="20"/>
  <c r="U67" i="20"/>
  <c r="R67" i="20"/>
  <c r="AK67" i="20"/>
  <c r="AB67" i="20"/>
  <c r="P29" i="20" s="1"/>
  <c r="AW67" i="20"/>
  <c r="AD67" i="20"/>
  <c r="Q29" i="20" s="1"/>
  <c r="X67" i="20"/>
  <c r="N29" i="20" s="1"/>
  <c r="S67" i="20"/>
  <c r="M67" i="20"/>
  <c r="BI67" i="20"/>
  <c r="AU67" i="20"/>
  <c r="AP67" i="20"/>
  <c r="W29" i="20" s="1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B29" i="20"/>
  <c r="B53" i="18" s="1"/>
  <c r="B87" i="18" s="1"/>
  <c r="C29" i="20"/>
  <c r="K29" i="20"/>
  <c r="U29" i="20"/>
  <c r="BH68" i="20" l="1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AF68" i="20"/>
  <c r="R30" i="20" s="1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N68" i="20"/>
  <c r="R68" i="20"/>
  <c r="K30" i="20" s="1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J68" i="20"/>
  <c r="G30" i="20" s="1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Z71" i="20"/>
  <c r="AB33" i="20" s="1"/>
  <c r="BG71" i="20"/>
  <c r="AU71" i="20"/>
  <c r="AD71" i="20"/>
  <c r="Q33" i="20" s="1"/>
  <c r="X71" i="20"/>
  <c r="N33" i="20" s="1"/>
  <c r="S71" i="20"/>
  <c r="M71" i="20"/>
  <c r="BE71" i="20"/>
  <c r="AR71" i="20"/>
  <c r="X33" i="20" s="1"/>
  <c r="P71" i="20"/>
  <c r="K71" i="20"/>
  <c r="N71" i="20"/>
  <c r="I33" i="20" s="1"/>
  <c r="Z71" i="20"/>
  <c r="O33" i="20" s="1"/>
  <c r="O71" i="20"/>
  <c r="U71" i="20"/>
  <c r="AP71" i="20"/>
  <c r="AJ71" i="20"/>
  <c r="T33" i="20" s="1"/>
  <c r="AE71" i="20"/>
  <c r="Y71" i="20"/>
  <c r="J71" i="20"/>
  <c r="G33" i="20" s="1"/>
  <c r="AK71" i="20"/>
  <c r="BK71" i="20"/>
  <c r="BC71" i="20"/>
  <c r="AS71" i="20"/>
  <c r="AH71" i="20"/>
  <c r="S33" i="20" s="1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K33" i="20" s="1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AL71" i="20"/>
  <c r="U33" i="20" s="1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AF33" i="20"/>
  <c r="A72" i="20"/>
  <c r="C72" i="20"/>
  <c r="C71" i="20"/>
  <c r="B33" i="20"/>
  <c r="B57" i="18" s="1"/>
  <c r="B91" i="18" s="1"/>
  <c r="J33" i="20"/>
  <c r="AD33" i="20"/>
  <c r="C73" i="20"/>
  <c r="C33" i="20"/>
  <c r="W33" i="20"/>
  <c r="Z33" i="20"/>
  <c r="B30" i="20"/>
  <c r="B54" i="18" s="1"/>
  <c r="B88" i="18" s="1"/>
  <c r="Q30" i="20"/>
  <c r="N30" i="20"/>
  <c r="H30" i="20"/>
  <c r="A69" i="20"/>
  <c r="C69" i="20"/>
  <c r="M30" i="20"/>
  <c r="AA30" i="20"/>
  <c r="T30" i="20"/>
  <c r="C70" i="20"/>
  <c r="C30" i="20"/>
  <c r="I30" i="20"/>
  <c r="C68" i="20"/>
  <c r="V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BB69" i="20"/>
  <c r="AC31" i="20" s="1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AC69" i="20"/>
  <c r="W69" i="20"/>
  <c r="H69" i="20"/>
  <c r="F31" i="20" s="1"/>
  <c r="BC69" i="20"/>
  <c r="I69" i="20"/>
  <c r="L69" i="20"/>
  <c r="H31" i="20" s="1"/>
  <c r="R69" i="20"/>
  <c r="AJ69" i="20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T69" i="20"/>
  <c r="AD69" i="20"/>
  <c r="Q31" i="20" s="1"/>
  <c r="BH72" i="20"/>
  <c r="BD72" i="20"/>
  <c r="AD34" i="20" s="1"/>
  <c r="AZ72" i="20"/>
  <c r="AB34" i="20" s="1"/>
  <c r="AV72" i="20"/>
  <c r="Z34" i="20" s="1"/>
  <c r="AR72" i="20"/>
  <c r="X34" i="20" s="1"/>
  <c r="AN72" i="20"/>
  <c r="AJ72" i="20"/>
  <c r="AF72" i="20"/>
  <c r="R34" i="20" s="1"/>
  <c r="AB72" i="20"/>
  <c r="P34" i="20" s="1"/>
  <c r="X72" i="20"/>
  <c r="N34" i="20" s="1"/>
  <c r="T72" i="20"/>
  <c r="L34" i="20" s="1"/>
  <c r="P72" i="20"/>
  <c r="J34" i="20" s="1"/>
  <c r="L72" i="20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T72" i="20"/>
  <c r="R72" i="20"/>
  <c r="K34" i="20" s="1"/>
  <c r="AH72" i="20"/>
  <c r="S34" i="20" s="1"/>
  <c r="N72" i="20"/>
  <c r="AP72" i="20"/>
  <c r="W34" i="20" s="1"/>
  <c r="J72" i="20"/>
  <c r="G34" i="20" s="1"/>
  <c r="BB72" i="20"/>
  <c r="AC34" i="20" s="1"/>
  <c r="Z72" i="20"/>
  <c r="AD72" i="20"/>
  <c r="Q34" i="20" s="1"/>
  <c r="AX72" i="20"/>
  <c r="AA34" i="20" s="1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I34" i="20"/>
  <c r="V34" i="20"/>
  <c r="H34" i="20"/>
  <c r="A73" i="20"/>
  <c r="C34" i="20"/>
  <c r="F34" i="20"/>
  <c r="AE34" i="20"/>
  <c r="O34" i="20"/>
  <c r="Y34" i="20"/>
  <c r="T34" i="20"/>
  <c r="AF34" i="20"/>
  <c r="B34" i="20"/>
  <c r="B58" i="18" s="1"/>
  <c r="B92" i="18" s="1"/>
  <c r="Y31" i="20"/>
  <c r="W31" i="20"/>
  <c r="A70" i="20"/>
  <c r="S31" i="20"/>
  <c r="C31" i="20"/>
  <c r="T31" i="20"/>
  <c r="AA31" i="20"/>
  <c r="AE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AE32" i="20" s="1"/>
  <c r="BB70" i="20"/>
  <c r="AC32" i="20" s="1"/>
  <c r="AX70" i="20"/>
  <c r="AA32" i="20" s="1"/>
  <c r="AT70" i="20"/>
  <c r="Y32" i="20" s="1"/>
  <c r="AP70" i="20"/>
  <c r="W32" i="20" s="1"/>
  <c r="AL70" i="20"/>
  <c r="U32" i="20" s="1"/>
  <c r="AH70" i="20"/>
  <c r="AD70" i="20"/>
  <c r="Q32" i="20" s="1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N32" i="20" s="1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Y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R32" i="20"/>
  <c r="B32" i="20"/>
  <c r="B56" i="18" s="1"/>
  <c r="B90" i="18" s="1"/>
  <c r="Z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27" i="18" s="1"/>
  <c r="D25" i="18" s="1"/>
  <c r="V57" i="18"/>
  <c r="V26" i="18" l="1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L89" i="18"/>
  <c r="F123" i="18" s="1"/>
  <c r="L88" i="18"/>
  <c r="F122" i="18" s="1"/>
  <c r="O88" i="18"/>
  <c r="H88" i="18"/>
  <c r="B122" i="18" s="1"/>
  <c r="M88" i="18"/>
  <c r="G122" i="18" s="1"/>
  <c r="O89" i="18"/>
  <c r="H89" i="18"/>
  <c r="B123" i="18" s="1"/>
  <c r="N89" i="18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K92" i="18"/>
  <c r="E126" i="18" s="1"/>
  <c r="L92" i="18"/>
  <c r="F126" i="18" s="1"/>
  <c r="N92" i="18"/>
  <c r="H126" i="18" s="1"/>
  <c r="L91" i="18"/>
  <c r="F125" i="18" s="1"/>
  <c r="O91" i="18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L85" i="18"/>
  <c r="F119" i="18" s="1"/>
  <c r="I85" i="18"/>
  <c r="C119" i="18" s="1"/>
  <c r="N85" i="18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H123" i="18" l="1"/>
  <c r="I123" i="18"/>
  <c r="I125" i="18"/>
  <c r="H125" i="18"/>
  <c r="H122" i="18"/>
  <c r="H120" i="18"/>
  <c r="I122" i="18"/>
  <c r="I119" i="18"/>
  <c r="H119" i="18"/>
  <c r="Q98" i="18"/>
  <c r="D68" i="18"/>
  <c r="P98" i="18"/>
  <c r="E74" i="18"/>
  <c r="S108" i="18" s="1"/>
  <c r="E77" i="18"/>
  <c r="Q111" i="18" s="1"/>
  <c r="F65" i="18"/>
  <c r="T98" i="18"/>
  <c r="D74" i="18"/>
  <c r="Q107" i="18" s="1"/>
  <c r="F80" i="18"/>
  <c r="O79" i="18" s="1"/>
  <c r="F77" i="18"/>
  <c r="D71" i="18"/>
  <c r="T104" i="18" s="1"/>
  <c r="F74" i="18"/>
  <c r="L74" i="18" s="1"/>
  <c r="F108" i="18" s="1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E68" i="18"/>
  <c r="H68" i="18" s="1"/>
  <c r="B102" i="18" s="1"/>
  <c r="L102" i="18" s="1"/>
  <c r="M82" i="18"/>
  <c r="G116" i="18" s="1"/>
  <c r="K83" i="18"/>
  <c r="E117" i="18" s="1"/>
  <c r="I82" i="18"/>
  <c r="C116" i="18" s="1"/>
  <c r="S110" i="18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Q110" i="18"/>
  <c r="N83" i="18"/>
  <c r="O83" i="18"/>
  <c r="M64" i="18"/>
  <c r="G98" i="18" s="1"/>
  <c r="P117" i="18"/>
  <c r="H83" i="18"/>
  <c r="B117" i="18" s="1"/>
  <c r="J117" i="18" s="1"/>
  <c r="T116" i="18"/>
  <c r="K64" i="18"/>
  <c r="E98" i="18" s="1"/>
  <c r="T117" i="18"/>
  <c r="S113" i="18"/>
  <c r="L64" i="18"/>
  <c r="F98" i="18" s="1"/>
  <c r="M83" i="18"/>
  <c r="G117" i="18" s="1"/>
  <c r="J83" i="18"/>
  <c r="D117" i="18" s="1"/>
  <c r="I83" i="18"/>
  <c r="C117" i="18" s="1"/>
  <c r="Q116" i="18"/>
  <c r="S117" i="18"/>
  <c r="P113" i="18"/>
  <c r="T113" i="18"/>
  <c r="J82" i="18"/>
  <c r="D116" i="18" s="1"/>
  <c r="O82" i="18"/>
  <c r="O64" i="18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I116" i="18" l="1"/>
  <c r="P105" i="18"/>
  <c r="H116" i="18"/>
  <c r="I117" i="18"/>
  <c r="H117" i="18"/>
  <c r="J70" i="18"/>
  <c r="D104" i="18" s="1"/>
  <c r="P107" i="18"/>
  <c r="S107" i="18"/>
  <c r="T107" i="18"/>
  <c r="L65" i="18"/>
  <c r="F99" i="18" s="1"/>
  <c r="H76" i="18"/>
  <c r="B110" i="18" s="1"/>
  <c r="L110" i="18" s="1"/>
  <c r="L67" i="18"/>
  <c r="F101" i="18" s="1"/>
  <c r="H65" i="18"/>
  <c r="B99" i="18" s="1"/>
  <c r="K99" i="18" s="1"/>
  <c r="T105" i="18"/>
  <c r="Q105" i="18"/>
  <c r="N68" i="18"/>
  <c r="H102" i="18" s="1"/>
  <c r="P104" i="18"/>
  <c r="N71" i="18"/>
  <c r="K68" i="18"/>
  <c r="E102" i="18" s="1"/>
  <c r="K73" i="18"/>
  <c r="E107" i="18" s="1"/>
  <c r="N80" i="18"/>
  <c r="T111" i="18"/>
  <c r="L80" i="18"/>
  <c r="F114" i="18" s="1"/>
  <c r="T108" i="18"/>
  <c r="O74" i="18"/>
  <c r="S111" i="18"/>
  <c r="J74" i="18"/>
  <c r="D108" i="18" s="1"/>
  <c r="K70" i="18"/>
  <c r="E104" i="18" s="1"/>
  <c r="O71" i="18"/>
  <c r="I76" i="18"/>
  <c r="C110" i="18" s="1"/>
  <c r="I77" i="18"/>
  <c r="C111" i="18" s="1"/>
  <c r="L76" i="18"/>
  <c r="F110" i="18" s="1"/>
  <c r="K77" i="18"/>
  <c r="E111" i="18" s="1"/>
  <c r="N74" i="18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K65" i="18"/>
  <c r="E99" i="18" s="1"/>
  <c r="P108" i="18"/>
  <c r="J73" i="18"/>
  <c r="D107" i="18" s="1"/>
  <c r="O70" i="18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O73" i="18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J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M113" i="18" s="1"/>
  <c r="P110" i="18"/>
  <c r="M74" i="18"/>
  <c r="G108" i="18" s="1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L79" i="18"/>
  <c r="F113" i="18" s="1"/>
  <c r="K79" i="18"/>
  <c r="E113" i="18" s="1"/>
  <c r="O80" i="18"/>
  <c r="J80" i="18"/>
  <c r="D114" i="18" s="1"/>
  <c r="J64" i="18"/>
  <c r="D98" i="18" s="1"/>
  <c r="J67" i="18"/>
  <c r="D101" i="18" s="1"/>
  <c r="H64" i="18"/>
  <c r="B98" i="18" s="1"/>
  <c r="M98" i="18" s="1"/>
  <c r="N67" i="18"/>
  <c r="N65" i="18"/>
  <c r="N77" i="18"/>
  <c r="N79" i="18"/>
  <c r="I68" i="18"/>
  <c r="C102" i="18" s="1"/>
  <c r="O67" i="18"/>
  <c r="N73" i="18"/>
  <c r="L99" i="18"/>
  <c r="L116" i="18"/>
  <c r="J116" i="18"/>
  <c r="M116" i="18"/>
  <c r="N102" i="18"/>
  <c r="K102" i="18"/>
  <c r="K116" i="18"/>
  <c r="N101" i="18"/>
  <c r="M102" i="18"/>
  <c r="L117" i="18"/>
  <c r="N110" i="18"/>
  <c r="J102" i="18"/>
  <c r="K117" i="18"/>
  <c r="M117" i="18"/>
  <c r="N117" i="18"/>
  <c r="J111" i="18" l="1"/>
  <c r="J101" i="18"/>
  <c r="K110" i="18"/>
  <c r="H107" i="18"/>
  <c r="H111" i="18"/>
  <c r="M110" i="18"/>
  <c r="J110" i="18"/>
  <c r="H113" i="18"/>
  <c r="I98" i="18"/>
  <c r="H99" i="18"/>
  <c r="I107" i="18"/>
  <c r="L101" i="18"/>
  <c r="I101" i="18"/>
  <c r="I113" i="18"/>
  <c r="H101" i="18"/>
  <c r="H98" i="18"/>
  <c r="I104" i="18"/>
  <c r="H104" i="18"/>
  <c r="H108" i="18"/>
  <c r="H105" i="18"/>
  <c r="I114" i="18"/>
  <c r="I111" i="18"/>
  <c r="I105" i="18"/>
  <c r="I108" i="18"/>
  <c r="H114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<sst xmlns="http://schemas.openxmlformats.org/spreadsheetml/2006/main" count="548" uniqueCount="99">
  <si>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</si>
  <si>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</si>
  <si>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</si>
  <si>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</si>
  <si>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</si>
  <si>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</si>
  <si>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</si>
  <si>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</si>
  <si>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</si>
  <si>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</si>
  <si>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</si>
  <si>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</si>
  <si>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</si>
  <si>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</si>
  <si>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</si>
  <si>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</si>
  <si>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</si>
  <si>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</si>
  <si>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</si>
  <si>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</si>
  <si>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</si>
  <si>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</si>
  <si>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</si>
  <si>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</si>
  <si>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</si>
  <si>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</si>
  <si>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</si>
  <si>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</si>
  <si>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</si>
  <si>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</si>
  <si>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</si>
  <si>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</si>
  <si>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</si>
  <si>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</si>
  <si>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</si>
  <si>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</si>
  <si>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</si>
  <si>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</si>
  <si>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</si>
  <si>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</si>
  <si>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</si>
  <si>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</si>
  <si>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</si>
  <si>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</si>
  <si>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</si>
  <si>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</si>
  <si>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</si>
  <si>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</si>
  <si>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</si>
  <si>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</si>
  <si>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</si>
  <si>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</si>
  <si>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</si>
  <si>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</si>
  <si>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</si>
  <si>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</si>
  <si>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</si>
  <si>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</si>
  <si>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</si>
  <si>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</si>
  <si>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</si>
  <si>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</si>
  <si>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</si>
  <si>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</si>
  <si>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</si>
  <si>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</si>
  <si>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</si>
  <si>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</si>
  <si>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</si>
  <si>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</si>
  <si>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</si>
  <si>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</si>
  <si>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</si>
  <si>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</si>
  <si>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</si>
  <si>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</si>
  <si>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</si>
  <si>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</si>
  <si>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</si>
  <si>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</si>
  <si>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</si>
  <si>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</si>
  <si>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</si>
  <si>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</si>
  <si>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</si>
  <si>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</si>
  <si>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</si>
  <si>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</si>
  <si>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</si>
  <si>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</si>
  <si>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</si>
  <si>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</si>
  <si>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</si>
  <si>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</si>
  <si>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</si>
  <si>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</si>
  <si>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</si>
  <si>
    <t>CondCar  7</t>
  </si>
  <si>
    <t>CondCar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</si>
</sst>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335347748359895E-2"/>
          <c:y val="0.32259416396479851"/>
          <c:w val="0.84363331060976421"/>
          <c:h val="0.62551959240389066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1.7477844697072923E-2</c:v>
                </c:pt>
                <c:pt idx="1">
                  <c:v>-2.7920420056864893E-2</c:v>
                </c:pt>
                <c:pt idx="2">
                  <c:v>16.371845665194961</c:v>
                </c:pt>
                <c:pt idx="3">
                  <c:v>16.342470317412999</c:v>
                </c:pt>
                <c:pt idx="4">
                  <c:v>24.842349081110591</c:v>
                </c:pt>
                <c:pt idx="5">
                  <c:v>24.917122693646494</c:v>
                </c:pt>
                <c:pt idx="6">
                  <c:v>1.7477844697072923E-2</c:v>
                </c:pt>
                <c:pt idx="7">
                  <c:v>1.7477844697072923E-2</c:v>
                </c:pt>
                <c:pt idx="8">
                  <c:v>1.7477844697072923E-2</c:v>
                </c:pt>
                <c:pt idx="9">
                  <c:v>1.7477844697072923E-2</c:v>
                </c:pt>
                <c:pt idx="10">
                  <c:v>1.7477844697072923E-2</c:v>
                </c:pt>
                <c:pt idx="11">
                  <c:v>1.7477844697072923E-2</c:v>
                </c:pt>
                <c:pt idx="12">
                  <c:v>1.7477844697072923E-2</c:v>
                </c:pt>
                <c:pt idx="14">
                  <c:v>13.174368547977998</c:v>
                </c:pt>
                <c:pt idx="15">
                  <c:v>14.668368547977998</c:v>
                </c:pt>
                <c:pt idx="17">
                  <c:v>13.921368547977998</c:v>
                </c:pt>
                <c:pt idx="18">
                  <c:v>13.921368547977998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-2.489920954001358</c:v>
                </c:pt>
                <c:pt idx="1">
                  <c:v>6.0099578096962363</c:v>
                </c:pt>
                <c:pt idx="2">
                  <c:v>6.0975497558097169</c:v>
                </c:pt>
                <c:pt idx="3">
                  <c:v>11.597471308790512</c:v>
                </c:pt>
                <c:pt idx="4">
                  <c:v>11.642869573544452</c:v>
                </c:pt>
                <c:pt idx="5">
                  <c:v>-2.3569307431339368</c:v>
                </c:pt>
                <c:pt idx="6">
                  <c:v>-2.489920954001358</c:v>
                </c:pt>
                <c:pt idx="7">
                  <c:v>-2.489920954001358</c:v>
                </c:pt>
                <c:pt idx="8">
                  <c:v>-2.489920954001358</c:v>
                </c:pt>
                <c:pt idx="9">
                  <c:v>-2.489920954001358</c:v>
                </c:pt>
                <c:pt idx="10">
                  <c:v>-2.489920954001358</c:v>
                </c:pt>
                <c:pt idx="11">
                  <c:v>-2.489920954001358</c:v>
                </c:pt>
                <c:pt idx="12">
                  <c:v>-2.489920954001358</c:v>
                </c:pt>
                <c:pt idx="14">
                  <c:v>3.100866451790282</c:v>
                </c:pt>
                <c:pt idx="15">
                  <c:v>3.100866451790282</c:v>
                </c:pt>
                <c:pt idx="17">
                  <c:v>2.3538664517902821</c:v>
                </c:pt>
                <c:pt idx="18">
                  <c:v>3.8478664517902819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-7.4289865584926508E-3</c:v>
                </c:pt>
                <c:pt idx="1">
                  <c:v>-7.7380796157184234E-3</c:v>
                </c:pt>
                <c:pt idx="2">
                  <c:v>16.392261909541155</c:v>
                </c:pt>
                <c:pt idx="3">
                  <c:v>16.392061908151184</c:v>
                </c:pt>
                <c:pt idx="4">
                  <c:v>24.892061902531275</c:v>
                </c:pt>
                <c:pt idx="5">
                  <c:v>24.892570996978467</c:v>
                </c:pt>
                <c:pt idx="6">
                  <c:v>-7.4289865584926508E-3</c:v>
                </c:pt>
                <c:pt idx="7">
                  <c:v>-7.4289865584926508E-3</c:v>
                </c:pt>
                <c:pt idx="8">
                  <c:v>-7.4289865584926508E-3</c:v>
                </c:pt>
                <c:pt idx="9">
                  <c:v>-7.4289865584926508E-3</c:v>
                </c:pt>
                <c:pt idx="10">
                  <c:v>-7.4289865584926508E-3</c:v>
                </c:pt>
                <c:pt idx="11">
                  <c:v>-7.4289865584926508E-3</c:v>
                </c:pt>
                <c:pt idx="12">
                  <c:v>-7.4289865584926508E-3</c:v>
                </c:pt>
                <c:pt idx="14">
                  <c:v>13.178923036327809</c:v>
                </c:pt>
                <c:pt idx="15">
                  <c:v>14.672923036327809</c:v>
                </c:pt>
                <c:pt idx="17">
                  <c:v>13.925923036327809</c:v>
                </c:pt>
                <c:pt idx="18">
                  <c:v>13.925923036327809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-1.1734436465199396</c:v>
                </c:pt>
                <c:pt idx="1">
                  <c:v>7.326556347860147</c:v>
                </c:pt>
                <c:pt idx="2">
                  <c:v>7.3271527156411445</c:v>
                </c:pt>
                <c:pt idx="3">
                  <c:v>12.827152712004731</c:v>
                </c:pt>
                <c:pt idx="4">
                  <c:v>12.827461805061954</c:v>
                </c:pt>
                <c:pt idx="5">
                  <c:v>-1.1725381856817181</c:v>
                </c:pt>
                <c:pt idx="6">
                  <c:v>-1.1734436465199396</c:v>
                </c:pt>
                <c:pt idx="7">
                  <c:v>-1.1734436465199396</c:v>
                </c:pt>
                <c:pt idx="8">
                  <c:v>-1.1734436465199396</c:v>
                </c:pt>
                <c:pt idx="9">
                  <c:v>-1.1734436465199396</c:v>
                </c:pt>
                <c:pt idx="10">
                  <c:v>-1.1734436465199396</c:v>
                </c:pt>
                <c:pt idx="11">
                  <c:v>-1.1734436465199396</c:v>
                </c:pt>
                <c:pt idx="12">
                  <c:v>-1.1734436465199396</c:v>
                </c:pt>
                <c:pt idx="14">
                  <c:v>4.3435103964162822</c:v>
                </c:pt>
                <c:pt idx="15">
                  <c:v>4.3435103964162822</c:v>
                </c:pt>
                <c:pt idx="17">
                  <c:v>3.5965103964162823</c:v>
                </c:pt>
                <c:pt idx="18">
                  <c:v>5.0905103964162821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3.8716414667215544E-2</c:v>
                </c:pt>
                <c:pt idx="1">
                  <c:v>-6.7741082123752936E-3</c:v>
                </c:pt>
                <c:pt idx="2">
                  <c:v>16.392991025345857</c:v>
                </c:pt>
                <c:pt idx="3">
                  <c:v>16.363555981129654</c:v>
                </c:pt>
                <c:pt idx="4">
                  <c:v>24.86343425157142</c:v>
                </c:pt>
                <c:pt idx="5">
                  <c:v>24.938359818667216</c:v>
                </c:pt>
                <c:pt idx="6">
                  <c:v>3.8716414667215544E-2</c:v>
                </c:pt>
                <c:pt idx="7">
                  <c:v>3.8716414667215544E-2</c:v>
                </c:pt>
                <c:pt idx="8">
                  <c:v>3.8716414667215544E-2</c:v>
                </c:pt>
                <c:pt idx="9">
                  <c:v>3.8716414667215544E-2</c:v>
                </c:pt>
                <c:pt idx="10">
                  <c:v>3.8716414667215544E-2</c:v>
                </c:pt>
                <c:pt idx="11">
                  <c:v>3.8716414667215544E-2</c:v>
                </c:pt>
                <c:pt idx="12">
                  <c:v>3.8716414667215544E-2</c:v>
                </c:pt>
                <c:pt idx="14">
                  <c:v>13.195546434430437</c:v>
                </c:pt>
                <c:pt idx="15">
                  <c:v>14.689546434430437</c:v>
                </c:pt>
                <c:pt idx="17">
                  <c:v>13.942546434430437</c:v>
                </c:pt>
                <c:pt idx="18">
                  <c:v>13.942546434430437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1.255611803134199</c:v>
                </c:pt>
                <c:pt idx="1">
                  <c:v>9.7554900735759666</c:v>
                </c:pt>
                <c:pt idx="2">
                  <c:v>9.8432600236024701</c:v>
                </c:pt>
                <c:pt idx="3">
                  <c:v>15.343181257417733</c:v>
                </c:pt>
                <c:pt idx="4">
                  <c:v>15.388671780297324</c:v>
                </c:pt>
                <c:pt idx="5">
                  <c:v>1.3888722760402936</c:v>
                </c:pt>
                <c:pt idx="6">
                  <c:v>1.255611803134199</c:v>
                </c:pt>
                <c:pt idx="7">
                  <c:v>1.255611803134199</c:v>
                </c:pt>
                <c:pt idx="8">
                  <c:v>1.255611803134199</c:v>
                </c:pt>
                <c:pt idx="9">
                  <c:v>1.255611803134199</c:v>
                </c:pt>
                <c:pt idx="10">
                  <c:v>1.255611803134199</c:v>
                </c:pt>
                <c:pt idx="11">
                  <c:v>1.255611803134199</c:v>
                </c:pt>
                <c:pt idx="12">
                  <c:v>1.255611803134199</c:v>
                </c:pt>
                <c:pt idx="14">
                  <c:v>6.8465501221528582</c:v>
                </c:pt>
                <c:pt idx="15">
                  <c:v>6.8465501221528582</c:v>
                </c:pt>
                <c:pt idx="17">
                  <c:v>6.0995501221528583</c:v>
                </c:pt>
                <c:pt idx="18">
                  <c:v>7.5935501221528581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6.1112076542598315E-2</c:v>
                </c:pt>
                <c:pt idx="1">
                  <c:v>-6.6227237055234735E-3</c:v>
                </c:pt>
                <c:pt idx="2">
                  <c:v>16.392856553481614</c:v>
                </c:pt>
                <c:pt idx="3">
                  <c:v>16.349028153321065</c:v>
                </c:pt>
                <c:pt idx="4">
                  <c:v>24.848758266497327</c:v>
                </c:pt>
                <c:pt idx="5">
                  <c:v>24.960321466905999</c:v>
                </c:pt>
                <c:pt idx="6">
                  <c:v>6.1112076542598315E-2</c:v>
                </c:pt>
                <c:pt idx="7">
                  <c:v>6.1112076542598315E-2</c:v>
                </c:pt>
                <c:pt idx="8">
                  <c:v>6.1112076542598315E-2</c:v>
                </c:pt>
                <c:pt idx="9">
                  <c:v>6.1112076542598315E-2</c:v>
                </c:pt>
                <c:pt idx="10">
                  <c:v>6.1112076542598315E-2</c:v>
                </c:pt>
                <c:pt idx="11">
                  <c:v>6.1112076542598315E-2</c:v>
                </c:pt>
                <c:pt idx="12">
                  <c:v>6.1112076542598315E-2</c:v>
                </c:pt>
                <c:pt idx="14">
                  <c:v>13.203262832493026</c:v>
                </c:pt>
                <c:pt idx="15">
                  <c:v>14.697262832493026</c:v>
                </c:pt>
                <c:pt idx="17">
                  <c:v>13.950262832493026</c:v>
                </c:pt>
                <c:pt idx="18">
                  <c:v>13.950262832493026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2.2757484870005569</c:v>
                </c:pt>
                <c:pt idx="1">
                  <c:v>10.775478600176818</c:v>
                </c:pt>
                <c:pt idx="2">
                  <c:v>10.906166920655549</c:v>
                </c:pt>
                <c:pt idx="3">
                  <c:v>16.405992288004892</c:v>
                </c:pt>
                <c:pt idx="4">
                  <c:v>16.473727088253014</c:v>
                </c:pt>
                <c:pt idx="5">
                  <c:v>2.4741716077274081</c:v>
                </c:pt>
                <c:pt idx="6">
                  <c:v>2.2757484870005569</c:v>
                </c:pt>
                <c:pt idx="7">
                  <c:v>2.2757484870005569</c:v>
                </c:pt>
                <c:pt idx="8">
                  <c:v>2.2757484870005569</c:v>
                </c:pt>
                <c:pt idx="9">
                  <c:v>2.2757484870005569</c:v>
                </c:pt>
                <c:pt idx="10">
                  <c:v>2.2757484870005569</c:v>
                </c:pt>
                <c:pt idx="11">
                  <c:v>2.2757484870005569</c:v>
                </c:pt>
                <c:pt idx="12">
                  <c:v>2.2757484870005569</c:v>
                </c:pt>
                <c:pt idx="14">
                  <c:v>7.903054395161389</c:v>
                </c:pt>
                <c:pt idx="15">
                  <c:v>7.903054395161389</c:v>
                </c:pt>
                <c:pt idx="17">
                  <c:v>7.1560543951613891</c:v>
                </c:pt>
                <c:pt idx="18">
                  <c:v>8.6500543951613889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3.8656303023406793E-2</c:v>
                </c:pt>
                <c:pt idx="1">
                  <c:v>-2.6245104675367264E-3</c:v>
                </c:pt>
                <c:pt idx="2">
                  <c:v>16.397182081255508</c:v>
                </c:pt>
                <c:pt idx="3">
                  <c:v>16.370470966643719</c:v>
                </c:pt>
                <c:pt idx="4">
                  <c:v>24.870370724548959</c:v>
                </c:pt>
                <c:pt idx="5">
                  <c:v>24.938362652651691</c:v>
                </c:pt>
                <c:pt idx="6">
                  <c:v>3.8656303023406793E-2</c:v>
                </c:pt>
                <c:pt idx="7">
                  <c:v>3.8656303023406793E-2</c:v>
                </c:pt>
                <c:pt idx="8">
                  <c:v>3.8656303023406793E-2</c:v>
                </c:pt>
                <c:pt idx="9">
                  <c:v>3.8656303023406793E-2</c:v>
                </c:pt>
                <c:pt idx="10">
                  <c:v>3.8656303023406793E-2</c:v>
                </c:pt>
                <c:pt idx="11">
                  <c:v>3.8656303023406793E-2</c:v>
                </c:pt>
                <c:pt idx="12">
                  <c:v>3.8656303023406793E-2</c:v>
                </c:pt>
                <c:pt idx="14">
                  <c:v>13.198253621255098</c:v>
                </c:pt>
                <c:pt idx="15">
                  <c:v>14.692253621255098</c:v>
                </c:pt>
                <c:pt idx="17">
                  <c:v>13.945253621255098</c:v>
                </c:pt>
                <c:pt idx="18">
                  <c:v>13.945253621255098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1.5923949896284308</c:v>
                </c:pt>
                <c:pt idx="1">
                  <c:v>10.092294747533668</c:v>
                </c:pt>
                <c:pt idx="2">
                  <c:v>10.171942434739725</c:v>
                </c:pt>
                <c:pt idx="3">
                  <c:v>15.671877572207819</c:v>
                </c:pt>
                <c:pt idx="4">
                  <c:v>15.713158385698765</c:v>
                </c:pt>
                <c:pt idx="5">
                  <c:v>1.7133234903254329</c:v>
                </c:pt>
                <c:pt idx="6">
                  <c:v>1.5923949896284308</c:v>
                </c:pt>
                <c:pt idx="7">
                  <c:v>1.5923949896284308</c:v>
                </c:pt>
                <c:pt idx="8">
                  <c:v>1.5923949896284308</c:v>
                </c:pt>
                <c:pt idx="9">
                  <c:v>1.5923949896284308</c:v>
                </c:pt>
                <c:pt idx="10">
                  <c:v>1.5923949896284308</c:v>
                </c:pt>
                <c:pt idx="11">
                  <c:v>1.5923949896284308</c:v>
                </c:pt>
                <c:pt idx="12">
                  <c:v>1.5923949896284308</c:v>
                </c:pt>
                <c:pt idx="14">
                  <c:v>7.1764465236036727</c:v>
                </c:pt>
                <c:pt idx="15">
                  <c:v>7.1764465236036727</c:v>
                </c:pt>
                <c:pt idx="17">
                  <c:v>6.4294465236036729</c:v>
                </c:pt>
                <c:pt idx="18">
                  <c:v>7.9234465236036726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16.399999999999999</c:v>
                </c:pt>
                <c:pt idx="3">
                  <c:v>16.399999999999999</c:v>
                </c:pt>
                <c:pt idx="4">
                  <c:v>24.9</c:v>
                </c:pt>
                <c:pt idx="5">
                  <c:v>24.9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13.186552631578946</c:v>
                </c:pt>
                <c:pt idx="15">
                  <c:v>14.680552631578946</c:v>
                </c:pt>
                <c:pt idx="17">
                  <c:v>13.933552631578946</c:v>
                </c:pt>
                <c:pt idx="18">
                  <c:v>13.933552631578946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8.5</c:v>
                </c:pt>
                <c:pt idx="2">
                  <c:v>8.5</c:v>
                </c:pt>
                <c:pt idx="3">
                  <c:v>14</c:v>
                </c:pt>
                <c:pt idx="4">
                  <c:v>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5.5164473684210531</c:v>
                </c:pt>
                <c:pt idx="15">
                  <c:v>5.5164473684210531</c:v>
                </c:pt>
                <c:pt idx="17">
                  <c:v>4.7694473684210532</c:v>
                </c:pt>
                <c:pt idx="18">
                  <c:v>6.263447368421053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04605264"/>
        <c:axId val="-704599280"/>
      </c:scatterChart>
      <c:valAx>
        <c:axId val="-7046052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-704599280"/>
        <c:crosses val="autoZero"/>
        <c:crossBetween val="midCat"/>
        <c:majorUnit val="5"/>
      </c:valAx>
      <c:valAx>
        <c:axId val="-704599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-704605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127000</xdr:rowOff>
    </xdr:from>
    <xdr:to>
      <xdr:col>14</xdr:col>
      <xdr:colOff>0</xdr:colOff>
      <xdr:row>45</xdr:row>
      <xdr:rowOff>127000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sqref="A1:XFD1048576"/>
    </sheetView>
  </sheetViews>
  <sheetFormatPr defaultRowHeight="12.75" x14ac:dyDescent="0.2"/>
  <sheetData>
    <row r="1" spans="1:13" x14ac:dyDescent="0.2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">
      <c r="A2" t="s">
        <v>86</v>
      </c>
      <c r="D2">
        <v>5</v>
      </c>
      <c r="E2" t="s">
        <v>0</v>
      </c>
      <c r="F2">
        <v>13.319000000000001</v>
      </c>
      <c r="G2">
        <v>0.23400000000000001</v>
      </c>
      <c r="J2">
        <v>0.53500000000000003</v>
      </c>
      <c r="K2">
        <v>0.86099999999999999</v>
      </c>
      <c r="L2">
        <v>0.153</v>
      </c>
      <c r="M2">
        <v>7.4999999999999997E-2</v>
      </c>
    </row>
    <row r="3" spans="1:13" x14ac:dyDescent="0.2">
      <c r="A3" t="s">
        <v>86</v>
      </c>
      <c r="D3">
        <v>5</v>
      </c>
      <c r="E3" t="s">
        <v>1</v>
      </c>
      <c r="F3">
        <v>0.16400000000000001</v>
      </c>
      <c r="G3">
        <v>13.407999999999999</v>
      </c>
      <c r="J3">
        <v>-1.272</v>
      </c>
      <c r="K3">
        <v>-2.0470000000000002</v>
      </c>
      <c r="L3">
        <v>0.65800000000000003</v>
      </c>
      <c r="M3">
        <v>0.40100000000000002</v>
      </c>
    </row>
    <row r="4" spans="1:13" x14ac:dyDescent="0.2">
      <c r="A4" t="s">
        <v>86</v>
      </c>
      <c r="D4">
        <v>5</v>
      </c>
      <c r="E4" t="s">
        <v>2</v>
      </c>
      <c r="F4">
        <v>-1.2E-2</v>
      </c>
      <c r="G4">
        <v>0.04</v>
      </c>
      <c r="J4">
        <v>9.1999999999999998E-2</v>
      </c>
      <c r="K4">
        <v>0.14799999999999999</v>
      </c>
      <c r="L4">
        <v>-2.8000000000000001E-2</v>
      </c>
      <c r="M4">
        <v>-1.7000000000000001E-2</v>
      </c>
    </row>
    <row r="5" spans="1:13" x14ac:dyDescent="0.2">
      <c r="A5" t="s">
        <v>86</v>
      </c>
      <c r="D5">
        <v>4</v>
      </c>
      <c r="E5" t="s">
        <v>0</v>
      </c>
      <c r="F5">
        <v>12.488</v>
      </c>
      <c r="G5">
        <v>0.24099999999999999</v>
      </c>
      <c r="J5">
        <v>0.49299999999999999</v>
      </c>
      <c r="K5">
        <v>0.79400000000000004</v>
      </c>
      <c r="L5">
        <v>0.13</v>
      </c>
      <c r="M5">
        <v>7.8E-2</v>
      </c>
    </row>
    <row r="6" spans="1:13" x14ac:dyDescent="0.2">
      <c r="A6" t="s">
        <v>86</v>
      </c>
      <c r="D6">
        <v>4</v>
      </c>
      <c r="E6" t="s">
        <v>1</v>
      </c>
      <c r="F6">
        <v>0.111</v>
      </c>
      <c r="G6">
        <v>12.323</v>
      </c>
      <c r="J6">
        <v>-1.1659999999999999</v>
      </c>
      <c r="K6">
        <v>-1.877</v>
      </c>
      <c r="L6">
        <v>0.623</v>
      </c>
      <c r="M6">
        <v>0.38300000000000001</v>
      </c>
    </row>
    <row r="7" spans="1:13" x14ac:dyDescent="0.2">
      <c r="A7" t="s">
        <v>86</v>
      </c>
      <c r="D7">
        <v>4</v>
      </c>
      <c r="E7" t="s">
        <v>2</v>
      </c>
      <c r="F7">
        <v>-8.0000000000000002E-3</v>
      </c>
      <c r="G7">
        <v>4.1000000000000002E-2</v>
      </c>
      <c r="J7">
        <v>8.5000000000000006E-2</v>
      </c>
      <c r="K7">
        <v>0.13700000000000001</v>
      </c>
      <c r="L7">
        <v>-2.5000000000000001E-2</v>
      </c>
      <c r="M7">
        <v>-1.6E-2</v>
      </c>
    </row>
    <row r="8" spans="1:13" x14ac:dyDescent="0.2">
      <c r="A8" t="s">
        <v>86</v>
      </c>
      <c r="D8">
        <v>3</v>
      </c>
      <c r="E8" t="s">
        <v>0</v>
      </c>
      <c r="F8">
        <v>9.9109999999999996</v>
      </c>
      <c r="G8">
        <v>0.17699999999999999</v>
      </c>
      <c r="J8">
        <v>0.38300000000000001</v>
      </c>
      <c r="K8">
        <v>0.61699999999999999</v>
      </c>
      <c r="L8">
        <v>8.4000000000000005E-2</v>
      </c>
      <c r="M8">
        <v>5.3999999999999999E-2</v>
      </c>
    </row>
    <row r="9" spans="1:13" x14ac:dyDescent="0.2">
      <c r="A9" t="s">
        <v>86</v>
      </c>
      <c r="D9">
        <v>3</v>
      </c>
      <c r="E9" t="s">
        <v>1</v>
      </c>
      <c r="F9">
        <v>3.7999999999999999E-2</v>
      </c>
      <c r="G9">
        <v>9.6890000000000001</v>
      </c>
      <c r="J9">
        <v>-0.90400000000000003</v>
      </c>
      <c r="K9">
        <v>-1.4550000000000001</v>
      </c>
      <c r="L9">
        <v>0.46</v>
      </c>
      <c r="M9">
        <v>0.28299999999999997</v>
      </c>
    </row>
    <row r="10" spans="1:13" x14ac:dyDescent="0.2">
      <c r="A10" t="s">
        <v>86</v>
      </c>
      <c r="D10">
        <v>3</v>
      </c>
      <c r="E10" t="s">
        <v>2</v>
      </c>
      <c r="F10">
        <v>-3.0000000000000001E-3</v>
      </c>
      <c r="G10">
        <v>0.03</v>
      </c>
      <c r="J10">
        <v>6.6000000000000003E-2</v>
      </c>
      <c r="K10">
        <v>0.106</v>
      </c>
      <c r="L10">
        <v>-1.7999999999999999E-2</v>
      </c>
      <c r="M10">
        <v>-1.0999999999999999E-2</v>
      </c>
    </row>
    <row r="11" spans="1:13" x14ac:dyDescent="0.2">
      <c r="A11" t="s">
        <v>86</v>
      </c>
      <c r="D11">
        <v>2</v>
      </c>
      <c r="E11" t="s">
        <v>0</v>
      </c>
      <c r="F11">
        <v>6.87</v>
      </c>
      <c r="G11">
        <v>0.10199999999999999</v>
      </c>
      <c r="J11">
        <v>0.25800000000000001</v>
      </c>
      <c r="K11">
        <v>0.41499999999999998</v>
      </c>
      <c r="L11">
        <v>4.4999999999999998E-2</v>
      </c>
      <c r="M11">
        <v>2.8000000000000001E-2</v>
      </c>
    </row>
    <row r="12" spans="1:13" x14ac:dyDescent="0.2">
      <c r="A12" t="s">
        <v>86</v>
      </c>
      <c r="D12">
        <v>2</v>
      </c>
      <c r="E12" t="s">
        <v>1</v>
      </c>
      <c r="F12">
        <v>1.4E-2</v>
      </c>
      <c r="G12">
        <v>6.6120000000000001</v>
      </c>
      <c r="J12">
        <v>-0.61099999999999999</v>
      </c>
      <c r="K12">
        <v>-0.98299999999999998</v>
      </c>
      <c r="L12">
        <v>0.26600000000000001</v>
      </c>
      <c r="M12">
        <v>0.16400000000000001</v>
      </c>
    </row>
    <row r="13" spans="1:13" x14ac:dyDescent="0.2">
      <c r="A13" t="s">
        <v>86</v>
      </c>
      <c r="D13">
        <v>2</v>
      </c>
      <c r="E13" t="s">
        <v>2</v>
      </c>
      <c r="F13">
        <v>-1E-3</v>
      </c>
      <c r="G13">
        <v>1.7000000000000001E-2</v>
      </c>
      <c r="J13">
        <v>4.3999999999999997E-2</v>
      </c>
      <c r="K13">
        <v>7.0999999999999994E-2</v>
      </c>
      <c r="L13">
        <v>-0.01</v>
      </c>
      <c r="M13">
        <v>-6.0000000000000001E-3</v>
      </c>
    </row>
    <row r="14" spans="1:13" x14ac:dyDescent="0.2">
      <c r="A14" t="s">
        <v>86</v>
      </c>
      <c r="D14">
        <v>1</v>
      </c>
      <c r="E14" t="s">
        <v>0</v>
      </c>
      <c r="F14">
        <v>3.3250000000000002</v>
      </c>
      <c r="G14">
        <v>3.5000000000000003E-2</v>
      </c>
      <c r="J14">
        <v>0.11899999999999999</v>
      </c>
      <c r="K14">
        <v>0.191</v>
      </c>
      <c r="L14">
        <v>1.4999999999999999E-2</v>
      </c>
      <c r="M14">
        <v>8.9999999999999993E-3</v>
      </c>
    </row>
    <row r="15" spans="1:13" x14ac:dyDescent="0.2">
      <c r="A15" t="s">
        <v>86</v>
      </c>
      <c r="D15">
        <v>1</v>
      </c>
      <c r="E15" t="s">
        <v>1</v>
      </c>
      <c r="F15">
        <v>1.2999999999999999E-2</v>
      </c>
      <c r="G15">
        <v>3.1059999999999999</v>
      </c>
      <c r="J15">
        <v>-0.28399999999999997</v>
      </c>
      <c r="K15">
        <v>-0.45600000000000002</v>
      </c>
      <c r="L15">
        <v>9.2999999999999999E-2</v>
      </c>
      <c r="M15">
        <v>5.8000000000000003E-2</v>
      </c>
    </row>
    <row r="16" spans="1:13" x14ac:dyDescent="0.2">
      <c r="A16" t="s">
        <v>86</v>
      </c>
      <c r="D16">
        <v>1</v>
      </c>
      <c r="E16" t="s">
        <v>2</v>
      </c>
      <c r="F16">
        <v>-1E-3</v>
      </c>
      <c r="G16">
        <v>6.0000000000000001E-3</v>
      </c>
      <c r="J16">
        <v>0.02</v>
      </c>
      <c r="K16">
        <v>3.3000000000000002E-2</v>
      </c>
      <c r="L16">
        <v>-3.0000000000000001E-3</v>
      </c>
      <c r="M16">
        <v>-2E-3</v>
      </c>
    </row>
    <row r="17" spans="1:9" x14ac:dyDescent="0.2">
      <c r="A17" t="s">
        <v>86</v>
      </c>
      <c r="B17">
        <v>1</v>
      </c>
      <c r="E17" t="s">
        <v>89</v>
      </c>
      <c r="H17">
        <v>0.54659999999999997</v>
      </c>
      <c r="I17">
        <v>0.54659999999999997</v>
      </c>
    </row>
    <row r="18" spans="1:9" x14ac:dyDescent="0.2">
      <c r="A18" t="s">
        <v>86</v>
      </c>
      <c r="B18">
        <v>1</v>
      </c>
      <c r="E18" t="s">
        <v>90</v>
      </c>
      <c r="H18">
        <v>0</v>
      </c>
      <c r="I18">
        <v>83.921999999999997</v>
      </c>
    </row>
    <row r="19" spans="1:9" x14ac:dyDescent="0.2">
      <c r="A19" t="s">
        <v>86</v>
      </c>
      <c r="B19">
        <v>1</v>
      </c>
      <c r="C19">
        <v>0.54700000000000004</v>
      </c>
      <c r="D19">
        <v>5</v>
      </c>
      <c r="E19" t="s">
        <v>0</v>
      </c>
      <c r="H19" s="35">
        <v>-6.7820000000000001E-4</v>
      </c>
      <c r="I19" s="35">
        <v>0.65546000000000004</v>
      </c>
    </row>
    <row r="20" spans="1:9" x14ac:dyDescent="0.2">
      <c r="A20" t="s">
        <v>86</v>
      </c>
      <c r="B20">
        <v>1</v>
      </c>
      <c r="D20">
        <v>5</v>
      </c>
      <c r="E20" t="s">
        <v>1</v>
      </c>
      <c r="H20" s="35">
        <v>-1.354E-2</v>
      </c>
      <c r="I20" s="35">
        <v>13.083</v>
      </c>
    </row>
    <row r="21" spans="1:9" x14ac:dyDescent="0.2">
      <c r="A21" t="s">
        <v>86</v>
      </c>
      <c r="B21">
        <v>1</v>
      </c>
      <c r="C21" t="s">
        <v>87</v>
      </c>
      <c r="D21">
        <v>5</v>
      </c>
      <c r="E21" t="s">
        <v>2</v>
      </c>
      <c r="H21" s="35">
        <v>-1.203E-4</v>
      </c>
      <c r="I21" s="35">
        <v>0.11625000000000001</v>
      </c>
    </row>
    <row r="22" spans="1:9" x14ac:dyDescent="0.2">
      <c r="A22" t="s">
        <v>86</v>
      </c>
      <c r="B22">
        <v>1</v>
      </c>
      <c r="D22">
        <v>4</v>
      </c>
      <c r="E22" t="s">
        <v>0</v>
      </c>
      <c r="H22" s="35">
        <v>-6.5050000000000004E-4</v>
      </c>
      <c r="I22" s="35">
        <v>0.62865000000000004</v>
      </c>
    </row>
    <row r="23" spans="1:9" x14ac:dyDescent="0.2">
      <c r="A23" t="s">
        <v>86</v>
      </c>
      <c r="B23">
        <v>1</v>
      </c>
      <c r="D23">
        <v>4</v>
      </c>
      <c r="E23" t="s">
        <v>1</v>
      </c>
      <c r="H23" s="35">
        <v>-1.2489999999999999E-2</v>
      </c>
      <c r="I23" s="35">
        <v>12.071</v>
      </c>
    </row>
    <row r="24" spans="1:9" x14ac:dyDescent="0.2">
      <c r="A24" t="s">
        <v>86</v>
      </c>
      <c r="B24">
        <v>1</v>
      </c>
      <c r="D24">
        <v>4</v>
      </c>
      <c r="E24" t="s">
        <v>2</v>
      </c>
      <c r="H24" s="35">
        <v>-1.149E-4</v>
      </c>
      <c r="I24" s="35">
        <v>0.11106000000000001</v>
      </c>
    </row>
    <row r="25" spans="1:9" x14ac:dyDescent="0.2">
      <c r="A25" t="s">
        <v>86</v>
      </c>
      <c r="B25">
        <v>1</v>
      </c>
      <c r="D25">
        <v>3</v>
      </c>
      <c r="E25" t="s">
        <v>0</v>
      </c>
      <c r="H25" s="35">
        <v>-4.9439999999999998E-4</v>
      </c>
      <c r="I25" s="35">
        <v>0.47782999999999998</v>
      </c>
    </row>
    <row r="26" spans="1:9" x14ac:dyDescent="0.2">
      <c r="A26" t="s">
        <v>86</v>
      </c>
      <c r="B26">
        <v>1</v>
      </c>
      <c r="D26">
        <v>3</v>
      </c>
      <c r="E26" t="s">
        <v>1</v>
      </c>
      <c r="H26" s="35">
        <v>-9.8910000000000005E-3</v>
      </c>
      <c r="I26" s="35">
        <v>9.5589999999999993</v>
      </c>
    </row>
    <row r="27" spans="1:9" x14ac:dyDescent="0.2">
      <c r="A27" t="s">
        <v>86</v>
      </c>
      <c r="B27">
        <v>1</v>
      </c>
      <c r="D27">
        <v>3</v>
      </c>
      <c r="E27" t="s">
        <v>2</v>
      </c>
      <c r="H27" s="35">
        <v>-8.687E-5</v>
      </c>
      <c r="I27" s="35">
        <v>8.3955000000000002E-2</v>
      </c>
    </row>
    <row r="28" spans="1:9" x14ac:dyDescent="0.2">
      <c r="A28" t="s">
        <v>86</v>
      </c>
      <c r="B28">
        <v>1</v>
      </c>
      <c r="D28">
        <v>2</v>
      </c>
      <c r="E28" t="s">
        <v>0</v>
      </c>
      <c r="H28" s="35">
        <v>-3.1339999999999997E-4</v>
      </c>
      <c r="I28" s="35">
        <v>0.30292999999999998</v>
      </c>
    </row>
    <row r="29" spans="1:9" x14ac:dyDescent="0.2">
      <c r="A29" t="s">
        <v>86</v>
      </c>
      <c r="B29">
        <v>1</v>
      </c>
      <c r="D29">
        <v>2</v>
      </c>
      <c r="E29" t="s">
        <v>1</v>
      </c>
      <c r="H29" s="35">
        <v>-6.7739999999999996E-3</v>
      </c>
      <c r="I29" s="35">
        <v>6.5467000000000004</v>
      </c>
    </row>
    <row r="30" spans="1:9" x14ac:dyDescent="0.2">
      <c r="A30" t="s">
        <v>86</v>
      </c>
      <c r="B30">
        <v>1</v>
      </c>
      <c r="D30">
        <v>2</v>
      </c>
      <c r="E30" t="s">
        <v>2</v>
      </c>
      <c r="H30" s="35">
        <v>-5.5080000000000001E-5</v>
      </c>
      <c r="I30" s="35">
        <v>5.3232000000000002E-2</v>
      </c>
    </row>
    <row r="31" spans="1:9" x14ac:dyDescent="0.2">
      <c r="A31" t="s">
        <v>86</v>
      </c>
      <c r="B31">
        <v>1</v>
      </c>
      <c r="D31">
        <v>1</v>
      </c>
      <c r="E31" t="s">
        <v>0</v>
      </c>
      <c r="H31" s="35">
        <v>-1.305E-4</v>
      </c>
      <c r="I31" s="35">
        <v>0.12609999999999999</v>
      </c>
    </row>
    <row r="32" spans="1:9" x14ac:dyDescent="0.2">
      <c r="A32" t="s">
        <v>86</v>
      </c>
      <c r="B32">
        <v>1</v>
      </c>
      <c r="D32">
        <v>1</v>
      </c>
      <c r="E32" t="s">
        <v>1</v>
      </c>
      <c r="H32" s="35">
        <v>-3.1830000000000001E-3</v>
      </c>
      <c r="I32" s="35">
        <v>3.0764</v>
      </c>
    </row>
    <row r="33" spans="1:9" x14ac:dyDescent="0.2">
      <c r="A33" t="s">
        <v>86</v>
      </c>
      <c r="B33">
        <v>1</v>
      </c>
      <c r="D33">
        <v>1</v>
      </c>
      <c r="E33" t="s">
        <v>2</v>
      </c>
      <c r="H33" s="35">
        <v>-2.3070000000000001E-5</v>
      </c>
      <c r="I33" s="35">
        <v>2.2294999999999999E-2</v>
      </c>
    </row>
    <row r="34" spans="1:9" x14ac:dyDescent="0.2">
      <c r="A34" t="s">
        <v>86</v>
      </c>
      <c r="B34">
        <v>2</v>
      </c>
      <c r="E34" t="s">
        <v>89</v>
      </c>
      <c r="H34">
        <v>0.51770000000000005</v>
      </c>
      <c r="I34">
        <v>0.51770000000000005</v>
      </c>
    </row>
    <row r="35" spans="1:9" x14ac:dyDescent="0.2">
      <c r="A35" t="s">
        <v>86</v>
      </c>
      <c r="B35">
        <v>2</v>
      </c>
      <c r="E35" t="s">
        <v>90</v>
      </c>
      <c r="H35">
        <v>85.554000000000002</v>
      </c>
      <c r="I35">
        <v>0</v>
      </c>
    </row>
    <row r="36" spans="1:9" x14ac:dyDescent="0.2">
      <c r="A36" t="s">
        <v>86</v>
      </c>
      <c r="B36">
        <v>2</v>
      </c>
      <c r="C36">
        <v>0.51800000000000002</v>
      </c>
      <c r="D36">
        <v>5</v>
      </c>
      <c r="E36" t="s">
        <v>0</v>
      </c>
      <c r="H36" s="35">
        <v>13.788</v>
      </c>
      <c r="I36" s="35">
        <v>2.2664E-2</v>
      </c>
    </row>
    <row r="37" spans="1:9" x14ac:dyDescent="0.2">
      <c r="A37" t="s">
        <v>86</v>
      </c>
      <c r="B37">
        <v>2</v>
      </c>
      <c r="C37" t="s">
        <v>88</v>
      </c>
      <c r="D37">
        <v>5</v>
      </c>
      <c r="E37" t="s">
        <v>1</v>
      </c>
      <c r="H37" s="35">
        <v>0.18851999999999999</v>
      </c>
      <c r="I37" s="35">
        <v>3.0987000000000001E-4</v>
      </c>
    </row>
    <row r="38" spans="1:9" x14ac:dyDescent="0.2">
      <c r="A38" t="s">
        <v>86</v>
      </c>
      <c r="B38">
        <v>2</v>
      </c>
      <c r="D38">
        <v>5</v>
      </c>
      <c r="E38" t="s">
        <v>2</v>
      </c>
      <c r="H38" s="35">
        <v>-1.153E-2</v>
      </c>
      <c r="I38" s="35">
        <v>-1.8960000000000001E-5</v>
      </c>
    </row>
    <row r="39" spans="1:9" x14ac:dyDescent="0.2">
      <c r="A39" t="s">
        <v>86</v>
      </c>
      <c r="B39">
        <v>2</v>
      </c>
      <c r="D39">
        <v>4</v>
      </c>
      <c r="E39" t="s">
        <v>0</v>
      </c>
      <c r="H39" s="35">
        <v>12.964</v>
      </c>
      <c r="I39" s="35">
        <v>2.1309000000000002E-2</v>
      </c>
    </row>
    <row r="40" spans="1:9" x14ac:dyDescent="0.2">
      <c r="A40" t="s">
        <v>86</v>
      </c>
      <c r="B40">
        <v>2</v>
      </c>
      <c r="D40">
        <v>4</v>
      </c>
      <c r="E40" t="s">
        <v>1</v>
      </c>
      <c r="H40" s="35">
        <v>0.13558999999999999</v>
      </c>
      <c r="I40" s="35">
        <v>2.2287000000000001E-4</v>
      </c>
    </row>
    <row r="41" spans="1:9" x14ac:dyDescent="0.2">
      <c r="A41" t="s">
        <v>86</v>
      </c>
      <c r="B41">
        <v>2</v>
      </c>
      <c r="D41">
        <v>4</v>
      </c>
      <c r="E41" t="s">
        <v>2</v>
      </c>
      <c r="H41" s="35">
        <v>-8.1259999999999995E-3</v>
      </c>
      <c r="I41" s="35">
        <v>-1.3360000000000001E-5</v>
      </c>
    </row>
    <row r="42" spans="1:9" x14ac:dyDescent="0.2">
      <c r="A42" t="s">
        <v>86</v>
      </c>
      <c r="B42">
        <v>2</v>
      </c>
      <c r="D42">
        <v>3</v>
      </c>
      <c r="E42" t="s">
        <v>0</v>
      </c>
      <c r="H42" s="35">
        <v>10.352</v>
      </c>
      <c r="I42" s="35">
        <v>1.7016E-2</v>
      </c>
    </row>
    <row r="43" spans="1:9" x14ac:dyDescent="0.2">
      <c r="A43" t="s">
        <v>86</v>
      </c>
      <c r="B43">
        <v>2</v>
      </c>
      <c r="D43">
        <v>3</v>
      </c>
      <c r="E43" t="s">
        <v>1</v>
      </c>
      <c r="H43" s="35">
        <v>5.7918999999999998E-2</v>
      </c>
      <c r="I43" s="35">
        <v>9.5202000000000001E-5</v>
      </c>
    </row>
    <row r="44" spans="1:9" x14ac:dyDescent="0.2">
      <c r="A44" t="s">
        <v>86</v>
      </c>
      <c r="B44">
        <v>2</v>
      </c>
      <c r="D44">
        <v>3</v>
      </c>
      <c r="E44" t="s">
        <v>2</v>
      </c>
      <c r="H44" s="35">
        <v>-2.8999999999999998E-3</v>
      </c>
      <c r="I44" s="35">
        <v>-4.7670000000000003E-6</v>
      </c>
    </row>
    <row r="45" spans="1:9" x14ac:dyDescent="0.2">
      <c r="A45" t="s">
        <v>86</v>
      </c>
      <c r="B45">
        <v>2</v>
      </c>
      <c r="D45">
        <v>2</v>
      </c>
      <c r="E45" t="s">
        <v>0</v>
      </c>
      <c r="H45" s="35">
        <v>7.2012999999999998</v>
      </c>
      <c r="I45" s="35">
        <v>1.1837E-2</v>
      </c>
    </row>
    <row r="46" spans="1:9" x14ac:dyDescent="0.2">
      <c r="A46" t="s">
        <v>86</v>
      </c>
      <c r="B46">
        <v>2</v>
      </c>
      <c r="D46">
        <v>2</v>
      </c>
      <c r="E46" t="s">
        <v>1</v>
      </c>
      <c r="H46" s="35">
        <v>2.7619000000000001E-2</v>
      </c>
      <c r="I46" s="35">
        <v>4.5398000000000001E-5</v>
      </c>
    </row>
    <row r="47" spans="1:9" x14ac:dyDescent="0.2">
      <c r="A47" t="s">
        <v>86</v>
      </c>
      <c r="B47">
        <v>2</v>
      </c>
      <c r="D47">
        <v>2</v>
      </c>
      <c r="E47" t="s">
        <v>2</v>
      </c>
      <c r="H47" s="35">
        <v>-1.1039999999999999E-3</v>
      </c>
      <c r="I47" s="35">
        <v>-1.8139999999999999E-6</v>
      </c>
    </row>
    <row r="48" spans="1:9" x14ac:dyDescent="0.2">
      <c r="A48" t="s">
        <v>86</v>
      </c>
      <c r="B48">
        <v>2</v>
      </c>
      <c r="D48">
        <v>1</v>
      </c>
      <c r="E48" t="s">
        <v>0</v>
      </c>
      <c r="H48" s="35">
        <v>3.4863</v>
      </c>
      <c r="I48" s="35">
        <v>5.7305000000000004E-3</v>
      </c>
    </row>
    <row r="49" spans="1:9" x14ac:dyDescent="0.2">
      <c r="A49" t="s">
        <v>86</v>
      </c>
      <c r="B49">
        <v>2</v>
      </c>
      <c r="D49">
        <v>1</v>
      </c>
      <c r="E49" t="s">
        <v>1</v>
      </c>
      <c r="H49" s="35">
        <v>2.0330999999999998E-2</v>
      </c>
      <c r="I49" s="35">
        <v>3.3419E-5</v>
      </c>
    </row>
    <row r="50" spans="1:9" x14ac:dyDescent="0.2">
      <c r="A50" t="s">
        <v>86</v>
      </c>
      <c r="B50">
        <v>2</v>
      </c>
      <c r="D50">
        <v>1</v>
      </c>
      <c r="E50" t="s">
        <v>2</v>
      </c>
      <c r="H50" s="35">
        <v>-1.0349999999999999E-3</v>
      </c>
      <c r="I50" s="35">
        <v>-1.7010000000000001E-6</v>
      </c>
    </row>
    <row r="51" spans="1:9" x14ac:dyDescent="0.2">
      <c r="A51" t="s">
        <v>86</v>
      </c>
      <c r="B51">
        <v>3</v>
      </c>
      <c r="E51" t="s">
        <v>89</v>
      </c>
      <c r="H51">
        <v>0.42080000000000001</v>
      </c>
      <c r="I51">
        <v>0.42080000000000001</v>
      </c>
    </row>
    <row r="52" spans="1:9" x14ac:dyDescent="0.2">
      <c r="A52" t="s">
        <v>86</v>
      </c>
      <c r="B52">
        <v>3</v>
      </c>
      <c r="E52" t="s">
        <v>90</v>
      </c>
      <c r="H52">
        <v>8.0000000000000002E-3</v>
      </c>
      <c r="I52">
        <v>0.437</v>
      </c>
    </row>
    <row r="53" spans="1:9" x14ac:dyDescent="0.2">
      <c r="A53" t="s">
        <v>86</v>
      </c>
      <c r="B53">
        <v>3</v>
      </c>
      <c r="C53">
        <v>0.42099999999999999</v>
      </c>
      <c r="D53">
        <v>5</v>
      </c>
      <c r="E53" t="s">
        <v>0</v>
      </c>
      <c r="H53" s="35">
        <v>7.0314000000000002E-2</v>
      </c>
      <c r="I53" s="35">
        <v>-0.51439999999999997</v>
      </c>
    </row>
    <row r="54" spans="1:9" x14ac:dyDescent="0.2">
      <c r="A54" t="s">
        <v>86</v>
      </c>
      <c r="B54">
        <v>3</v>
      </c>
      <c r="D54">
        <v>5</v>
      </c>
      <c r="E54" t="s">
        <v>1</v>
      </c>
      <c r="H54" s="35">
        <v>-0.1774</v>
      </c>
      <c r="I54" s="35">
        <v>1.2975000000000001</v>
      </c>
    </row>
    <row r="55" spans="1:9" x14ac:dyDescent="0.2">
      <c r="A55" t="s">
        <v>86</v>
      </c>
      <c r="B55">
        <v>3</v>
      </c>
      <c r="D55">
        <v>5</v>
      </c>
      <c r="E55" t="s">
        <v>2</v>
      </c>
      <c r="H55" s="35">
        <v>1.2057999999999999E-2</v>
      </c>
      <c r="I55" s="35">
        <v>-8.8209999999999997E-2</v>
      </c>
    </row>
    <row r="56" spans="1:9" x14ac:dyDescent="0.2">
      <c r="A56" t="s">
        <v>86</v>
      </c>
      <c r="B56">
        <v>3</v>
      </c>
      <c r="D56">
        <v>4</v>
      </c>
      <c r="E56" t="s">
        <v>0</v>
      </c>
      <c r="H56" s="35">
        <v>6.5157999999999994E-2</v>
      </c>
      <c r="I56" s="35">
        <v>-0.47670000000000001</v>
      </c>
    </row>
    <row r="57" spans="1:9" x14ac:dyDescent="0.2">
      <c r="A57" t="s">
        <v>86</v>
      </c>
      <c r="B57">
        <v>3</v>
      </c>
      <c r="D57">
        <v>4</v>
      </c>
      <c r="E57" t="s">
        <v>1</v>
      </c>
      <c r="H57" s="35">
        <v>-0.1633</v>
      </c>
      <c r="I57" s="35">
        <v>1.1943999999999999</v>
      </c>
    </row>
    <row r="58" spans="1:9" x14ac:dyDescent="0.2">
      <c r="A58" t="s">
        <v>86</v>
      </c>
      <c r="B58">
        <v>3</v>
      </c>
      <c r="D58">
        <v>4</v>
      </c>
      <c r="E58" t="s">
        <v>2</v>
      </c>
      <c r="H58" s="35">
        <v>1.1122E-2</v>
      </c>
      <c r="I58" s="35">
        <v>-8.1360000000000002E-2</v>
      </c>
    </row>
    <row r="59" spans="1:9" x14ac:dyDescent="0.2">
      <c r="A59" t="s">
        <v>86</v>
      </c>
      <c r="B59">
        <v>3</v>
      </c>
      <c r="D59">
        <v>3</v>
      </c>
      <c r="E59" t="s">
        <v>0</v>
      </c>
      <c r="H59" s="35">
        <v>5.1124999999999997E-2</v>
      </c>
      <c r="I59" s="35">
        <v>-0.374</v>
      </c>
    </row>
    <row r="60" spans="1:9" x14ac:dyDescent="0.2">
      <c r="A60" t="s">
        <v>86</v>
      </c>
      <c r="B60">
        <v>3</v>
      </c>
      <c r="D60">
        <v>3</v>
      </c>
      <c r="E60" t="s">
        <v>1</v>
      </c>
      <c r="H60" s="35">
        <v>-0.12740000000000001</v>
      </c>
      <c r="I60" s="35">
        <v>0.93205000000000005</v>
      </c>
    </row>
    <row r="61" spans="1:9" x14ac:dyDescent="0.2">
      <c r="A61" t="s">
        <v>86</v>
      </c>
      <c r="B61">
        <v>3</v>
      </c>
      <c r="D61">
        <v>3</v>
      </c>
      <c r="E61" t="s">
        <v>2</v>
      </c>
      <c r="H61" s="35">
        <v>8.6467000000000002E-3</v>
      </c>
      <c r="I61" s="35">
        <v>-6.3259999999999997E-2</v>
      </c>
    </row>
    <row r="62" spans="1:9" x14ac:dyDescent="0.2">
      <c r="A62" t="s">
        <v>86</v>
      </c>
      <c r="B62">
        <v>3</v>
      </c>
      <c r="D62">
        <v>2</v>
      </c>
      <c r="E62" t="s">
        <v>0</v>
      </c>
      <c r="H62" s="35">
        <v>3.4606999999999999E-2</v>
      </c>
      <c r="I62" s="35">
        <v>-0.25319999999999998</v>
      </c>
    </row>
    <row r="63" spans="1:9" x14ac:dyDescent="0.2">
      <c r="A63" t="s">
        <v>86</v>
      </c>
      <c r="B63">
        <v>3</v>
      </c>
      <c r="D63">
        <v>2</v>
      </c>
      <c r="E63" t="s">
        <v>1</v>
      </c>
      <c r="H63" s="35">
        <v>-8.6330000000000004E-2</v>
      </c>
      <c r="I63" s="35">
        <v>0.63156999999999996</v>
      </c>
    </row>
    <row r="64" spans="1:9" x14ac:dyDescent="0.2">
      <c r="A64" t="s">
        <v>86</v>
      </c>
      <c r="B64">
        <v>3</v>
      </c>
      <c r="D64">
        <v>2</v>
      </c>
      <c r="E64" t="s">
        <v>2</v>
      </c>
      <c r="H64" s="35">
        <v>5.8278000000000002E-3</v>
      </c>
      <c r="I64" s="35">
        <v>-4.2630000000000001E-2</v>
      </c>
    </row>
    <row r="65" spans="1:9" x14ac:dyDescent="0.2">
      <c r="A65" t="s">
        <v>86</v>
      </c>
      <c r="B65">
        <v>3</v>
      </c>
      <c r="D65">
        <v>1</v>
      </c>
      <c r="E65" t="s">
        <v>0</v>
      </c>
      <c r="H65" s="35">
        <v>1.5928999999999999E-2</v>
      </c>
      <c r="I65" s="35">
        <v>-0.11650000000000001</v>
      </c>
    </row>
    <row r="66" spans="1:9" x14ac:dyDescent="0.2">
      <c r="A66" t="s">
        <v>86</v>
      </c>
      <c r="B66">
        <v>3</v>
      </c>
      <c r="D66">
        <v>1</v>
      </c>
      <c r="E66" t="s">
        <v>1</v>
      </c>
      <c r="H66" s="35">
        <v>-4.0050000000000002E-2</v>
      </c>
      <c r="I66" s="35">
        <v>0.29302</v>
      </c>
    </row>
    <row r="67" spans="1:9" x14ac:dyDescent="0.2">
      <c r="A67" t="s">
        <v>86</v>
      </c>
      <c r="B67">
        <v>3</v>
      </c>
      <c r="D67">
        <v>1</v>
      </c>
      <c r="E67" t="s">
        <v>2</v>
      </c>
      <c r="H67" s="35">
        <v>2.6854000000000001E-3</v>
      </c>
      <c r="I67" s="35">
        <v>-1.9640000000000001E-2</v>
      </c>
    </row>
    <row r="68" spans="1:9" x14ac:dyDescent="0.2">
      <c r="A68" t="s">
        <v>86</v>
      </c>
      <c r="B68">
        <v>4</v>
      </c>
      <c r="E68" t="s">
        <v>89</v>
      </c>
      <c r="H68">
        <v>0.17499999999999999</v>
      </c>
      <c r="I68">
        <v>0.17499999999999999</v>
      </c>
    </row>
    <row r="69" spans="1:9" x14ac:dyDescent="0.2">
      <c r="A69" t="s">
        <v>86</v>
      </c>
      <c r="B69">
        <v>4</v>
      </c>
      <c r="E69" t="s">
        <v>90</v>
      </c>
      <c r="H69">
        <v>0</v>
      </c>
      <c r="I69">
        <v>10.967000000000001</v>
      </c>
    </row>
    <row r="70" spans="1:9" x14ac:dyDescent="0.2">
      <c r="A70" t="s">
        <v>86</v>
      </c>
      <c r="B70">
        <v>4</v>
      </c>
      <c r="C70">
        <v>0.17499999999999999</v>
      </c>
      <c r="D70">
        <v>5</v>
      </c>
      <c r="E70" t="s">
        <v>0</v>
      </c>
      <c r="H70" s="35">
        <v>2.6737000000000002E-5</v>
      </c>
      <c r="I70" s="35">
        <v>4.2982999999999997E-3</v>
      </c>
    </row>
    <row r="71" spans="1:9" x14ac:dyDescent="0.2">
      <c r="A71" t="s">
        <v>86</v>
      </c>
      <c r="B71">
        <v>4</v>
      </c>
      <c r="D71">
        <v>5</v>
      </c>
      <c r="E71" t="s">
        <v>1</v>
      </c>
      <c r="H71" s="35">
        <v>-3.8530000000000001E-3</v>
      </c>
      <c r="I71" s="35">
        <v>-0.61939999999999995</v>
      </c>
    </row>
    <row r="72" spans="1:9" x14ac:dyDescent="0.2">
      <c r="A72" t="s">
        <v>86</v>
      </c>
      <c r="B72">
        <v>4</v>
      </c>
      <c r="D72">
        <v>5</v>
      </c>
      <c r="E72" t="s">
        <v>2</v>
      </c>
      <c r="H72" s="35">
        <v>8.2644E-6</v>
      </c>
      <c r="I72" s="35">
        <v>1.3286000000000001E-3</v>
      </c>
    </row>
    <row r="73" spans="1:9" x14ac:dyDescent="0.2">
      <c r="A73" t="s">
        <v>86</v>
      </c>
      <c r="B73">
        <v>4</v>
      </c>
      <c r="D73">
        <v>4</v>
      </c>
      <c r="E73" t="s">
        <v>0</v>
      </c>
      <c r="H73" s="35">
        <v>-1.15E-5</v>
      </c>
      <c r="I73" s="35">
        <v>-1.848E-3</v>
      </c>
    </row>
    <row r="74" spans="1:9" x14ac:dyDescent="0.2">
      <c r="A74" t="s">
        <v>86</v>
      </c>
      <c r="B74">
        <v>4</v>
      </c>
      <c r="D74">
        <v>4</v>
      </c>
      <c r="E74" t="s">
        <v>1</v>
      </c>
      <c r="H74" s="35">
        <v>-1.8159999999999999E-3</v>
      </c>
      <c r="I74" s="35">
        <v>-0.29189999999999999</v>
      </c>
    </row>
    <row r="75" spans="1:9" x14ac:dyDescent="0.2">
      <c r="A75" t="s">
        <v>86</v>
      </c>
      <c r="B75">
        <v>4</v>
      </c>
      <c r="D75">
        <v>4</v>
      </c>
      <c r="E75" t="s">
        <v>2</v>
      </c>
      <c r="H75" s="35">
        <v>5.6267999999999998E-8</v>
      </c>
      <c r="I75" s="35">
        <v>9.0457000000000005E-6</v>
      </c>
    </row>
    <row r="76" spans="1:9" x14ac:dyDescent="0.2">
      <c r="A76" t="s">
        <v>86</v>
      </c>
      <c r="B76">
        <v>4</v>
      </c>
      <c r="D76">
        <v>3</v>
      </c>
      <c r="E76" t="s">
        <v>0</v>
      </c>
      <c r="H76" s="35">
        <v>5.9599999999999999E-5</v>
      </c>
      <c r="I76" s="35">
        <v>9.5812999999999992E-3</v>
      </c>
    </row>
    <row r="77" spans="1:9" x14ac:dyDescent="0.2">
      <c r="A77" t="s">
        <v>86</v>
      </c>
      <c r="B77">
        <v>4</v>
      </c>
      <c r="D77">
        <v>3</v>
      </c>
      <c r="E77" t="s">
        <v>1</v>
      </c>
      <c r="H77" s="35">
        <v>1.9428E-3</v>
      </c>
      <c r="I77" s="35">
        <v>0.31231999999999999</v>
      </c>
    </row>
    <row r="78" spans="1:9" x14ac:dyDescent="0.2">
      <c r="A78" t="s">
        <v>86</v>
      </c>
      <c r="B78">
        <v>4</v>
      </c>
      <c r="D78">
        <v>3</v>
      </c>
      <c r="E78" t="s">
        <v>2</v>
      </c>
      <c r="H78" s="35">
        <v>8.2812999999999998E-6</v>
      </c>
      <c r="I78" s="35">
        <v>1.3313000000000001E-3</v>
      </c>
    </row>
    <row r="79" spans="1:9" x14ac:dyDescent="0.2">
      <c r="A79" t="s">
        <v>86</v>
      </c>
      <c r="B79">
        <v>4</v>
      </c>
      <c r="D79">
        <v>2</v>
      </c>
      <c r="E79" t="s">
        <v>0</v>
      </c>
      <c r="H79" s="35">
        <v>9.3875999999999994E-5</v>
      </c>
      <c r="I79" s="35">
        <v>1.5092E-2</v>
      </c>
    </row>
    <row r="80" spans="1:9" x14ac:dyDescent="0.2">
      <c r="A80" t="s">
        <v>86</v>
      </c>
      <c r="B80">
        <v>4</v>
      </c>
      <c r="D80">
        <v>2</v>
      </c>
      <c r="E80" t="s">
        <v>1</v>
      </c>
      <c r="H80" s="35">
        <v>3.5211000000000001E-3</v>
      </c>
      <c r="I80" s="35">
        <v>0.56606000000000001</v>
      </c>
    </row>
    <row r="81" spans="1:9" x14ac:dyDescent="0.2">
      <c r="A81" t="s">
        <v>86</v>
      </c>
      <c r="B81">
        <v>4</v>
      </c>
      <c r="D81">
        <v>2</v>
      </c>
      <c r="E81" t="s">
        <v>2</v>
      </c>
      <c r="H81" s="35">
        <v>1.2330999999999999E-5</v>
      </c>
      <c r="I81" s="35">
        <v>1.9823000000000002E-3</v>
      </c>
    </row>
    <row r="82" spans="1:9" x14ac:dyDescent="0.2">
      <c r="A82" t="s">
        <v>86</v>
      </c>
      <c r="B82">
        <v>4</v>
      </c>
      <c r="D82">
        <v>1</v>
      </c>
      <c r="E82" t="s">
        <v>0</v>
      </c>
      <c r="H82" s="35">
        <v>5.9561000000000001E-5</v>
      </c>
      <c r="I82" s="35">
        <v>9.5750999999999996E-3</v>
      </c>
    </row>
    <row r="83" spans="1:9" x14ac:dyDescent="0.2">
      <c r="A83" t="s">
        <v>86</v>
      </c>
      <c r="B83">
        <v>4</v>
      </c>
      <c r="D83">
        <v>1</v>
      </c>
      <c r="E83" t="s">
        <v>1</v>
      </c>
      <c r="H83" s="35">
        <v>2.4639000000000002E-3</v>
      </c>
      <c r="I83" s="35">
        <v>0.39610000000000001</v>
      </c>
    </row>
    <row r="84" spans="1:9" x14ac:dyDescent="0.2">
      <c r="A84" t="s">
        <v>86</v>
      </c>
      <c r="B84">
        <v>4</v>
      </c>
      <c r="D84">
        <v>1</v>
      </c>
      <c r="E84" t="s">
        <v>2</v>
      </c>
      <c r="H84" s="35">
        <v>7.5151000000000003E-6</v>
      </c>
      <c r="I84" s="35">
        <v>1.2080999999999999E-3</v>
      </c>
    </row>
    <row r="85" spans="1:9" x14ac:dyDescent="0.2">
      <c r="A85" t="s">
        <v>86</v>
      </c>
      <c r="B85">
        <v>5</v>
      </c>
      <c r="E85" t="s">
        <v>89</v>
      </c>
      <c r="H85">
        <v>0.16889999999999999</v>
      </c>
      <c r="I85">
        <v>0.16889999999999999</v>
      </c>
    </row>
    <row r="86" spans="1:9" x14ac:dyDescent="0.2">
      <c r="A86" t="s">
        <v>86</v>
      </c>
      <c r="B86">
        <v>5</v>
      </c>
      <c r="E86" t="s">
        <v>90</v>
      </c>
      <c r="H86">
        <v>10.301</v>
      </c>
      <c r="I86">
        <v>0</v>
      </c>
    </row>
    <row r="87" spans="1:9" x14ac:dyDescent="0.2">
      <c r="A87" t="s">
        <v>86</v>
      </c>
      <c r="B87">
        <v>5</v>
      </c>
      <c r="C87">
        <v>0.16900000000000001</v>
      </c>
      <c r="D87">
        <v>5</v>
      </c>
      <c r="E87" t="s">
        <v>0</v>
      </c>
      <c r="H87" s="35">
        <v>-0.52800000000000002</v>
      </c>
      <c r="I87" s="35">
        <v>3.2304E-3</v>
      </c>
    </row>
    <row r="88" spans="1:9" x14ac:dyDescent="0.2">
      <c r="A88" t="s">
        <v>86</v>
      </c>
      <c r="B88">
        <v>5</v>
      </c>
      <c r="D88">
        <v>5</v>
      </c>
      <c r="E88" t="s">
        <v>1</v>
      </c>
      <c r="H88" s="35">
        <v>1.9207999999999999E-2</v>
      </c>
      <c r="I88" s="35">
        <v>-1.175E-4</v>
      </c>
    </row>
    <row r="89" spans="1:9" x14ac:dyDescent="0.2">
      <c r="A89" t="s">
        <v>86</v>
      </c>
      <c r="B89">
        <v>5</v>
      </c>
      <c r="D89">
        <v>5</v>
      </c>
      <c r="E89" t="s">
        <v>2</v>
      </c>
      <c r="H89" s="35">
        <v>-1.1249999999999999E-3</v>
      </c>
      <c r="I89" s="35">
        <v>6.8851000000000004E-6</v>
      </c>
    </row>
    <row r="90" spans="1:9" x14ac:dyDescent="0.2">
      <c r="A90" t="s">
        <v>86</v>
      </c>
      <c r="B90">
        <v>5</v>
      </c>
      <c r="D90">
        <v>4</v>
      </c>
      <c r="E90" t="s">
        <v>0</v>
      </c>
      <c r="H90" s="35">
        <v>-0.29959999999999998</v>
      </c>
      <c r="I90" s="35">
        <v>1.8328000000000001E-3</v>
      </c>
    </row>
    <row r="91" spans="1:9" x14ac:dyDescent="0.2">
      <c r="A91" t="s">
        <v>86</v>
      </c>
      <c r="B91">
        <v>5</v>
      </c>
      <c r="D91">
        <v>4</v>
      </c>
      <c r="E91" t="s">
        <v>1</v>
      </c>
      <c r="H91" s="35">
        <v>2.0397999999999999E-2</v>
      </c>
      <c r="I91" s="35">
        <v>-1.248E-4</v>
      </c>
    </row>
    <row r="92" spans="1:9" x14ac:dyDescent="0.2">
      <c r="A92" t="s">
        <v>86</v>
      </c>
      <c r="B92">
        <v>5</v>
      </c>
      <c r="D92">
        <v>4</v>
      </c>
      <c r="E92" t="s">
        <v>2</v>
      </c>
      <c r="H92" s="35">
        <v>-1.31E-3</v>
      </c>
      <c r="I92" s="35">
        <v>8.0172000000000001E-6</v>
      </c>
    </row>
    <row r="93" spans="1:9" x14ac:dyDescent="0.2">
      <c r="A93" t="s">
        <v>86</v>
      </c>
      <c r="B93">
        <v>5</v>
      </c>
      <c r="D93">
        <v>3</v>
      </c>
      <c r="E93" t="s">
        <v>0</v>
      </c>
      <c r="H93" s="35">
        <v>0.27322000000000002</v>
      </c>
      <c r="I93" s="35">
        <v>-1.6720000000000001E-3</v>
      </c>
    </row>
    <row r="94" spans="1:9" x14ac:dyDescent="0.2">
      <c r="A94" t="s">
        <v>86</v>
      </c>
      <c r="B94">
        <v>5</v>
      </c>
      <c r="D94">
        <v>3</v>
      </c>
      <c r="E94" t="s">
        <v>1</v>
      </c>
      <c r="H94" s="35">
        <v>1.5509999999999999E-2</v>
      </c>
      <c r="I94" s="35">
        <v>-9.4889999999999994E-5</v>
      </c>
    </row>
    <row r="95" spans="1:9" x14ac:dyDescent="0.2">
      <c r="A95" t="s">
        <v>86</v>
      </c>
      <c r="B95">
        <v>5</v>
      </c>
      <c r="D95">
        <v>3</v>
      </c>
      <c r="E95" t="s">
        <v>2</v>
      </c>
      <c r="H95" s="35">
        <v>-1.225E-3</v>
      </c>
      <c r="I95" s="35">
        <v>7.4950999999999996E-6</v>
      </c>
    </row>
    <row r="96" spans="1:9" x14ac:dyDescent="0.2">
      <c r="A96" t="s">
        <v>86</v>
      </c>
      <c r="B96">
        <v>5</v>
      </c>
      <c r="D96">
        <v>2</v>
      </c>
      <c r="E96" t="s">
        <v>0</v>
      </c>
      <c r="H96" s="35">
        <v>0.53039999999999998</v>
      </c>
      <c r="I96" s="35">
        <v>-3.2450000000000001E-3</v>
      </c>
    </row>
    <row r="97" spans="1:9" x14ac:dyDescent="0.2">
      <c r="A97" t="s">
        <v>86</v>
      </c>
      <c r="B97">
        <v>5</v>
      </c>
      <c r="D97">
        <v>2</v>
      </c>
      <c r="E97" t="s">
        <v>1</v>
      </c>
      <c r="H97" s="35">
        <v>6.378E-3</v>
      </c>
      <c r="I97" s="35">
        <v>-3.9020000000000002E-5</v>
      </c>
    </row>
    <row r="98" spans="1:9" x14ac:dyDescent="0.2">
      <c r="A98" t="s">
        <v>86</v>
      </c>
      <c r="B98">
        <v>5</v>
      </c>
      <c r="D98">
        <v>2</v>
      </c>
      <c r="E98" t="s">
        <v>2</v>
      </c>
      <c r="H98" s="35">
        <v>-6.935E-4</v>
      </c>
      <c r="I98" s="35">
        <v>4.2425999999999998E-6</v>
      </c>
    </row>
    <row r="99" spans="1:9" x14ac:dyDescent="0.2">
      <c r="A99" t="s">
        <v>86</v>
      </c>
      <c r="B99">
        <v>5</v>
      </c>
      <c r="D99">
        <v>1</v>
      </c>
      <c r="E99" t="s">
        <v>0</v>
      </c>
      <c r="H99" s="35">
        <v>0.38595000000000002</v>
      </c>
      <c r="I99" s="35">
        <v>-2.3609999999999998E-3</v>
      </c>
    </row>
    <row r="100" spans="1:9" x14ac:dyDescent="0.2">
      <c r="A100" t="s">
        <v>86</v>
      </c>
      <c r="B100">
        <v>5</v>
      </c>
      <c r="D100">
        <v>1</v>
      </c>
      <c r="E100" t="s">
        <v>1</v>
      </c>
      <c r="H100" s="35">
        <v>2.6248E-3</v>
      </c>
      <c r="I100" s="35">
        <v>-1.6059999999999999E-5</v>
      </c>
    </row>
    <row r="101" spans="1:9" x14ac:dyDescent="0.2">
      <c r="A101" t="s">
        <v>86</v>
      </c>
      <c r="B101">
        <v>5</v>
      </c>
      <c r="D101">
        <v>1</v>
      </c>
      <c r="E101" t="s">
        <v>2</v>
      </c>
      <c r="H101" s="35">
        <v>-3.5619999999999998E-4</v>
      </c>
      <c r="I101" s="35">
        <v>2.1791999999999998E-6</v>
      </c>
    </row>
    <row r="102" spans="1:9" x14ac:dyDescent="0.2">
      <c r="A102" t="s">
        <v>86</v>
      </c>
      <c r="B102">
        <v>6</v>
      </c>
      <c r="E102" t="s">
        <v>89</v>
      </c>
      <c r="H102">
        <v>0.13469999999999999</v>
      </c>
      <c r="I102">
        <v>0.13469999999999999</v>
      </c>
    </row>
    <row r="103" spans="1:9" x14ac:dyDescent="0.2">
      <c r="A103" t="s">
        <v>86</v>
      </c>
      <c r="B103">
        <v>6</v>
      </c>
      <c r="E103" t="s">
        <v>90</v>
      </c>
      <c r="H103">
        <v>0</v>
      </c>
      <c r="I103">
        <v>1E-3</v>
      </c>
    </row>
    <row r="104" spans="1:9" x14ac:dyDescent="0.2">
      <c r="A104" t="s">
        <v>86</v>
      </c>
      <c r="B104">
        <v>6</v>
      </c>
      <c r="C104">
        <v>0.13500000000000001</v>
      </c>
      <c r="D104">
        <v>5</v>
      </c>
      <c r="E104" t="s">
        <v>0</v>
      </c>
      <c r="H104" s="35">
        <v>-9.1620000000000004E-4</v>
      </c>
      <c r="I104" s="35">
        <v>2.2125000000000001E-3</v>
      </c>
    </row>
    <row r="105" spans="1:9" x14ac:dyDescent="0.2">
      <c r="A105" t="s">
        <v>86</v>
      </c>
      <c r="B105">
        <v>6</v>
      </c>
      <c r="D105">
        <v>5</v>
      </c>
      <c r="E105" t="s">
        <v>1</v>
      </c>
      <c r="H105" s="35">
        <v>2.2672E-3</v>
      </c>
      <c r="I105" s="35">
        <v>-5.4749999999999998E-3</v>
      </c>
    </row>
    <row r="106" spans="1:9" x14ac:dyDescent="0.2">
      <c r="A106" t="s">
        <v>86</v>
      </c>
      <c r="B106">
        <v>6</v>
      </c>
      <c r="D106">
        <v>5</v>
      </c>
      <c r="E106" t="s">
        <v>2</v>
      </c>
      <c r="H106" s="35">
        <v>-1.5469999999999999E-4</v>
      </c>
      <c r="I106" s="35">
        <v>3.7353000000000001E-4</v>
      </c>
    </row>
    <row r="107" spans="1:9" x14ac:dyDescent="0.2">
      <c r="A107" t="s">
        <v>86</v>
      </c>
      <c r="B107">
        <v>6</v>
      </c>
      <c r="D107">
        <v>4</v>
      </c>
      <c r="E107" t="s">
        <v>0</v>
      </c>
      <c r="H107" s="35">
        <v>-4.5639999999999998E-4</v>
      </c>
      <c r="I107" s="35">
        <v>1.1022E-3</v>
      </c>
    </row>
    <row r="108" spans="1:9" x14ac:dyDescent="0.2">
      <c r="A108" t="s">
        <v>86</v>
      </c>
      <c r="B108">
        <v>6</v>
      </c>
      <c r="D108">
        <v>4</v>
      </c>
      <c r="E108" t="s">
        <v>1</v>
      </c>
      <c r="H108" s="35">
        <v>1.0361999999999999E-3</v>
      </c>
      <c r="I108" s="35">
        <v>-2.5019999999999999E-3</v>
      </c>
    </row>
    <row r="109" spans="1:9" x14ac:dyDescent="0.2">
      <c r="A109" t="s">
        <v>86</v>
      </c>
      <c r="B109">
        <v>6</v>
      </c>
      <c r="D109">
        <v>4</v>
      </c>
      <c r="E109" t="s">
        <v>2</v>
      </c>
      <c r="H109" s="35">
        <v>-7.3269999999999995E-5</v>
      </c>
      <c r="I109" s="35">
        <v>1.7694999999999999E-4</v>
      </c>
    </row>
    <row r="110" spans="1:9" x14ac:dyDescent="0.2">
      <c r="A110" t="s">
        <v>86</v>
      </c>
      <c r="B110">
        <v>6</v>
      </c>
      <c r="D110">
        <v>3</v>
      </c>
      <c r="E110" t="s">
        <v>0</v>
      </c>
      <c r="H110" s="35">
        <v>5.1192000000000002E-4</v>
      </c>
      <c r="I110" s="35">
        <v>-1.2359999999999999E-3</v>
      </c>
    </row>
    <row r="111" spans="1:9" x14ac:dyDescent="0.2">
      <c r="A111" t="s">
        <v>86</v>
      </c>
      <c r="B111">
        <v>6</v>
      </c>
      <c r="D111">
        <v>3</v>
      </c>
      <c r="E111" t="s">
        <v>1</v>
      </c>
      <c r="H111" s="35">
        <v>-1.323E-3</v>
      </c>
      <c r="I111" s="35">
        <v>3.1939999999999998E-3</v>
      </c>
    </row>
    <row r="112" spans="1:9" x14ac:dyDescent="0.2">
      <c r="A112" t="s">
        <v>86</v>
      </c>
      <c r="B112">
        <v>6</v>
      </c>
      <c r="D112">
        <v>3</v>
      </c>
      <c r="E112" t="s">
        <v>2</v>
      </c>
      <c r="H112" s="35">
        <v>9.3137E-5</v>
      </c>
      <c r="I112" s="35">
        <v>-2.2489999999999999E-4</v>
      </c>
    </row>
    <row r="113" spans="1:9" x14ac:dyDescent="0.2">
      <c r="A113" t="s">
        <v>86</v>
      </c>
      <c r="B113">
        <v>6</v>
      </c>
      <c r="D113">
        <v>2</v>
      </c>
      <c r="E113" t="s">
        <v>0</v>
      </c>
      <c r="H113" s="35">
        <v>9.1107000000000004E-4</v>
      </c>
      <c r="I113" s="35">
        <v>-2.2000000000000001E-3</v>
      </c>
    </row>
    <row r="114" spans="1:9" x14ac:dyDescent="0.2">
      <c r="A114" t="s">
        <v>86</v>
      </c>
      <c r="B114">
        <v>6</v>
      </c>
      <c r="D114">
        <v>2</v>
      </c>
      <c r="E114" t="s">
        <v>1</v>
      </c>
      <c r="H114" s="35">
        <v>-2.2269999999999998E-3</v>
      </c>
      <c r="I114" s="35">
        <v>5.3788999999999998E-3</v>
      </c>
    </row>
    <row r="115" spans="1:9" x14ac:dyDescent="0.2">
      <c r="A115" t="s">
        <v>86</v>
      </c>
      <c r="B115">
        <v>6</v>
      </c>
      <c r="D115">
        <v>2</v>
      </c>
      <c r="E115" t="s">
        <v>2</v>
      </c>
      <c r="H115" s="35">
        <v>1.5782E-4</v>
      </c>
      <c r="I115" s="35">
        <v>-3.8109999999999999E-4</v>
      </c>
    </row>
    <row r="116" spans="1:9" x14ac:dyDescent="0.2">
      <c r="A116" t="s">
        <v>86</v>
      </c>
      <c r="B116">
        <v>6</v>
      </c>
      <c r="D116">
        <v>1</v>
      </c>
      <c r="E116" t="s">
        <v>0</v>
      </c>
      <c r="H116" s="35">
        <v>6.2713000000000005E-4</v>
      </c>
      <c r="I116" s="35">
        <v>-1.5150000000000001E-3</v>
      </c>
    </row>
    <row r="117" spans="1:9" x14ac:dyDescent="0.2">
      <c r="A117" t="s">
        <v>86</v>
      </c>
      <c r="B117">
        <v>6</v>
      </c>
      <c r="D117">
        <v>1</v>
      </c>
      <c r="E117" t="s">
        <v>1</v>
      </c>
      <c r="H117" s="35">
        <v>-1.523E-3</v>
      </c>
      <c r="I117" s="35">
        <v>3.6770000000000001E-3</v>
      </c>
    </row>
    <row r="118" spans="1:9" x14ac:dyDescent="0.2">
      <c r="A118" t="s">
        <v>86</v>
      </c>
      <c r="B118">
        <v>6</v>
      </c>
      <c r="D118">
        <v>1</v>
      </c>
      <c r="E118" t="s">
        <v>2</v>
      </c>
      <c r="H118" s="35">
        <v>1.0781999999999999E-4</v>
      </c>
      <c r="I118" s="35">
        <v>-2.6039999999999999E-4</v>
      </c>
    </row>
    <row r="119" spans="1:9" x14ac:dyDescent="0.2">
      <c r="A119" t="s">
        <v>86</v>
      </c>
      <c r="B119">
        <v>7</v>
      </c>
      <c r="E119" t="s">
        <v>89</v>
      </c>
      <c r="H119">
        <v>9.1300000000000006E-2</v>
      </c>
      <c r="I119">
        <v>9.1300000000000006E-2</v>
      </c>
    </row>
    <row r="120" spans="1:9" x14ac:dyDescent="0.2">
      <c r="A120" t="s">
        <v>86</v>
      </c>
      <c r="B120">
        <v>7</v>
      </c>
      <c r="E120" t="s">
        <v>90</v>
      </c>
      <c r="H120">
        <v>0</v>
      </c>
      <c r="I120">
        <v>3.52</v>
      </c>
    </row>
    <row r="121" spans="1:9" x14ac:dyDescent="0.2">
      <c r="A121" t="s">
        <v>86</v>
      </c>
      <c r="B121">
        <v>7</v>
      </c>
      <c r="C121">
        <v>9.0999999999999998E-2</v>
      </c>
      <c r="D121">
        <v>5</v>
      </c>
      <c r="E121" t="s">
        <v>0</v>
      </c>
      <c r="H121" s="35">
        <v>-6.7959999999999998E-6</v>
      </c>
      <c r="I121" s="35">
        <v>-4.1850000000000004E-3</v>
      </c>
    </row>
    <row r="122" spans="1:9" x14ac:dyDescent="0.2">
      <c r="A122" t="s">
        <v>86</v>
      </c>
      <c r="B122">
        <v>7</v>
      </c>
      <c r="D122">
        <v>5</v>
      </c>
      <c r="E122" t="s">
        <v>1</v>
      </c>
      <c r="H122" s="35">
        <v>1.7564999999999999E-4</v>
      </c>
      <c r="I122" s="35">
        <v>0.10816000000000001</v>
      </c>
    </row>
    <row r="123" spans="1:9" x14ac:dyDescent="0.2">
      <c r="A123" t="s">
        <v>86</v>
      </c>
      <c r="B123">
        <v>7</v>
      </c>
      <c r="D123">
        <v>5</v>
      </c>
      <c r="E123" t="s">
        <v>2</v>
      </c>
      <c r="H123" s="35">
        <v>-1.1429999999999999E-6</v>
      </c>
      <c r="I123" s="35">
        <v>-7.0410000000000004E-4</v>
      </c>
    </row>
    <row r="124" spans="1:9" x14ac:dyDescent="0.2">
      <c r="A124" t="s">
        <v>86</v>
      </c>
      <c r="B124">
        <v>7</v>
      </c>
      <c r="D124">
        <v>4</v>
      </c>
      <c r="E124" t="s">
        <v>0</v>
      </c>
      <c r="H124" s="35">
        <v>3.2770999999999999E-6</v>
      </c>
      <c r="I124" s="35">
        <v>2.0179E-3</v>
      </c>
    </row>
    <row r="125" spans="1:9" x14ac:dyDescent="0.2">
      <c r="A125" t="s">
        <v>86</v>
      </c>
      <c r="B125">
        <v>7</v>
      </c>
      <c r="D125">
        <v>4</v>
      </c>
      <c r="E125" t="s">
        <v>1</v>
      </c>
      <c r="H125" s="35">
        <v>-4.6969999999999999E-5</v>
      </c>
      <c r="I125" s="35">
        <v>-2.8920000000000001E-2</v>
      </c>
    </row>
    <row r="126" spans="1:9" x14ac:dyDescent="0.2">
      <c r="A126" t="s">
        <v>86</v>
      </c>
      <c r="B126">
        <v>7</v>
      </c>
      <c r="D126">
        <v>4</v>
      </c>
      <c r="E126" t="s">
        <v>2</v>
      </c>
      <c r="H126" s="35">
        <v>6.1816999999999998E-7</v>
      </c>
      <c r="I126" s="35">
        <v>3.8064000000000001E-4</v>
      </c>
    </row>
    <row r="127" spans="1:9" x14ac:dyDescent="0.2">
      <c r="A127" t="s">
        <v>86</v>
      </c>
      <c r="B127">
        <v>7</v>
      </c>
      <c r="D127">
        <v>3</v>
      </c>
      <c r="E127" t="s">
        <v>0</v>
      </c>
      <c r="H127" s="35">
        <v>4.4167000000000001E-7</v>
      </c>
      <c r="I127" s="35">
        <v>2.7196000000000002E-4</v>
      </c>
    </row>
    <row r="128" spans="1:9" x14ac:dyDescent="0.2">
      <c r="A128" t="s">
        <v>86</v>
      </c>
      <c r="B128">
        <v>7</v>
      </c>
      <c r="D128">
        <v>3</v>
      </c>
      <c r="E128" t="s">
        <v>1</v>
      </c>
      <c r="H128" s="35">
        <v>-1.9149999999999999E-4</v>
      </c>
      <c r="I128" s="35">
        <v>-0.1179</v>
      </c>
    </row>
    <row r="129" spans="1:9" x14ac:dyDescent="0.2">
      <c r="A129" t="s">
        <v>86</v>
      </c>
      <c r="B129">
        <v>7</v>
      </c>
      <c r="D129">
        <v>3</v>
      </c>
      <c r="E129" t="s">
        <v>2</v>
      </c>
      <c r="H129" s="35">
        <v>1.1529999999999999E-7</v>
      </c>
      <c r="I129" s="35">
        <v>7.0998E-5</v>
      </c>
    </row>
    <row r="130" spans="1:9" x14ac:dyDescent="0.2">
      <c r="A130" t="s">
        <v>86</v>
      </c>
      <c r="B130">
        <v>7</v>
      </c>
      <c r="D130">
        <v>2</v>
      </c>
      <c r="E130" t="s">
        <v>0</v>
      </c>
      <c r="H130" s="35">
        <v>-2.6089999999999999E-6</v>
      </c>
      <c r="I130" s="35">
        <v>-1.6069999999999999E-3</v>
      </c>
    </row>
    <row r="131" spans="1:9" x14ac:dyDescent="0.2">
      <c r="A131" t="s">
        <v>86</v>
      </c>
      <c r="B131">
        <v>7</v>
      </c>
      <c r="D131">
        <v>2</v>
      </c>
      <c r="E131" t="s">
        <v>1</v>
      </c>
      <c r="H131" s="35">
        <v>6.0730000000000003E-5</v>
      </c>
      <c r="I131" s="35">
        <v>3.7394999999999998E-2</v>
      </c>
    </row>
    <row r="132" spans="1:9" x14ac:dyDescent="0.2">
      <c r="A132" t="s">
        <v>86</v>
      </c>
      <c r="B132">
        <v>7</v>
      </c>
      <c r="D132">
        <v>2</v>
      </c>
      <c r="E132" t="s">
        <v>2</v>
      </c>
      <c r="H132" s="35">
        <v>-4.7830000000000004E-7</v>
      </c>
      <c r="I132" s="35">
        <v>-2.945E-4</v>
      </c>
    </row>
    <row r="133" spans="1:9" x14ac:dyDescent="0.2">
      <c r="A133" t="s">
        <v>86</v>
      </c>
      <c r="B133">
        <v>7</v>
      </c>
      <c r="D133">
        <v>1</v>
      </c>
      <c r="E133" t="s">
        <v>0</v>
      </c>
      <c r="H133" s="35">
        <v>-2.5129999999999999E-6</v>
      </c>
      <c r="I133" s="35">
        <v>-1.5479999999999999E-3</v>
      </c>
    </row>
    <row r="134" spans="1:9" x14ac:dyDescent="0.2">
      <c r="A134" t="s">
        <v>86</v>
      </c>
      <c r="B134">
        <v>7</v>
      </c>
      <c r="D134">
        <v>1</v>
      </c>
      <c r="E134" t="s">
        <v>1</v>
      </c>
      <c r="H134" s="35">
        <v>2.0191E-4</v>
      </c>
      <c r="I134" s="35">
        <v>0.12433</v>
      </c>
    </row>
    <row r="135" spans="1:9" x14ac:dyDescent="0.2">
      <c r="A135" t="s">
        <v>86</v>
      </c>
      <c r="B135">
        <v>7</v>
      </c>
      <c r="D135">
        <v>1</v>
      </c>
      <c r="E135" t="s">
        <v>2</v>
      </c>
      <c r="H135" s="35">
        <v>-4.9739999999999999E-7</v>
      </c>
      <c r="I135" s="35">
        <v>-3.0630000000000002E-4</v>
      </c>
    </row>
    <row r="136" spans="1:9" x14ac:dyDescent="0.2">
      <c r="A136" t="s">
        <v>86</v>
      </c>
      <c r="B136">
        <v>8</v>
      </c>
      <c r="E136" t="s">
        <v>89</v>
      </c>
      <c r="H136">
        <v>8.9499999999999996E-2</v>
      </c>
      <c r="I136">
        <v>8.9499999999999996E-2</v>
      </c>
    </row>
    <row r="137" spans="1:9" x14ac:dyDescent="0.2">
      <c r="A137" t="s">
        <v>86</v>
      </c>
      <c r="B137">
        <v>8</v>
      </c>
      <c r="E137" t="s">
        <v>90</v>
      </c>
      <c r="H137">
        <v>3.2440000000000002</v>
      </c>
      <c r="I137">
        <v>0</v>
      </c>
    </row>
    <row r="138" spans="1:9" x14ac:dyDescent="0.2">
      <c r="A138" t="s">
        <v>86</v>
      </c>
      <c r="B138">
        <v>8</v>
      </c>
      <c r="C138">
        <v>8.8999999999999996E-2</v>
      </c>
      <c r="D138">
        <v>5</v>
      </c>
      <c r="E138" t="s">
        <v>0</v>
      </c>
      <c r="H138" s="35">
        <v>8.3354999999999999E-2</v>
      </c>
      <c r="I138" s="35">
        <v>-1.104E-4</v>
      </c>
    </row>
    <row r="139" spans="1:9" x14ac:dyDescent="0.2">
      <c r="A139" t="s">
        <v>86</v>
      </c>
      <c r="B139">
        <v>8</v>
      </c>
      <c r="D139">
        <v>5</v>
      </c>
      <c r="E139" t="s">
        <v>1</v>
      </c>
      <c r="H139" s="35">
        <v>-6.8760000000000002E-3</v>
      </c>
      <c r="I139" s="35">
        <v>9.1100999999999994E-6</v>
      </c>
    </row>
    <row r="140" spans="1:9" x14ac:dyDescent="0.2">
      <c r="A140" t="s">
        <v>86</v>
      </c>
      <c r="B140">
        <v>8</v>
      </c>
      <c r="D140">
        <v>5</v>
      </c>
      <c r="E140" t="s">
        <v>2</v>
      </c>
      <c r="H140" s="35">
        <v>4.6769999999999998E-4</v>
      </c>
      <c r="I140" s="35">
        <v>-6.1959999999999996E-7</v>
      </c>
    </row>
    <row r="141" spans="1:9" x14ac:dyDescent="0.2">
      <c r="A141" t="s">
        <v>86</v>
      </c>
      <c r="B141">
        <v>8</v>
      </c>
      <c r="D141">
        <v>4</v>
      </c>
      <c r="E141" t="s">
        <v>0</v>
      </c>
      <c r="H141" s="35">
        <v>-5.1209999999999997E-3</v>
      </c>
      <c r="I141" s="35">
        <v>6.7839000000000004E-6</v>
      </c>
    </row>
    <row r="142" spans="1:9" x14ac:dyDescent="0.2">
      <c r="A142" t="s">
        <v>86</v>
      </c>
      <c r="B142">
        <v>8</v>
      </c>
      <c r="D142">
        <v>4</v>
      </c>
      <c r="E142" t="s">
        <v>1</v>
      </c>
      <c r="H142" s="35">
        <v>-4.0130000000000001E-3</v>
      </c>
      <c r="I142" s="35">
        <v>5.3171000000000003E-6</v>
      </c>
    </row>
    <row r="143" spans="1:9" x14ac:dyDescent="0.2">
      <c r="A143" t="s">
        <v>86</v>
      </c>
      <c r="B143">
        <v>8</v>
      </c>
      <c r="D143">
        <v>4</v>
      </c>
      <c r="E143" t="s">
        <v>2</v>
      </c>
      <c r="H143" s="35">
        <v>2.8563999999999998E-4</v>
      </c>
      <c r="I143" s="35">
        <v>-3.784E-7</v>
      </c>
    </row>
    <row r="144" spans="1:9" x14ac:dyDescent="0.2">
      <c r="A144" t="s">
        <v>86</v>
      </c>
      <c r="B144">
        <v>8</v>
      </c>
      <c r="D144">
        <v>3</v>
      </c>
      <c r="E144" t="s">
        <v>0</v>
      </c>
      <c r="H144" s="35">
        <v>-0.1143</v>
      </c>
      <c r="I144" s="35">
        <v>1.5140999999999999E-4</v>
      </c>
    </row>
    <row r="145" spans="1:9" x14ac:dyDescent="0.2">
      <c r="A145" t="s">
        <v>86</v>
      </c>
      <c r="B145">
        <v>8</v>
      </c>
      <c r="D145">
        <v>3</v>
      </c>
      <c r="E145" t="s">
        <v>1</v>
      </c>
      <c r="H145" s="35">
        <v>1.3152999999999999E-3</v>
      </c>
      <c r="I145" s="35">
        <v>-1.7430000000000001E-6</v>
      </c>
    </row>
    <row r="146" spans="1:9" x14ac:dyDescent="0.2">
      <c r="A146" t="s">
        <v>86</v>
      </c>
      <c r="B146">
        <v>8</v>
      </c>
      <c r="D146">
        <v>3</v>
      </c>
      <c r="E146" t="s">
        <v>2</v>
      </c>
      <c r="H146" s="35">
        <v>-8.2330000000000006E-5</v>
      </c>
      <c r="I146" s="35">
        <v>1.0907999999999999E-7</v>
      </c>
    </row>
    <row r="147" spans="1:9" x14ac:dyDescent="0.2">
      <c r="A147" t="s">
        <v>86</v>
      </c>
      <c r="B147">
        <v>8</v>
      </c>
      <c r="D147">
        <v>2</v>
      </c>
      <c r="E147" t="s">
        <v>0</v>
      </c>
      <c r="H147" s="35">
        <v>2.1729999999999999E-2</v>
      </c>
      <c r="I147" s="35">
        <v>-2.879E-5</v>
      </c>
    </row>
    <row r="148" spans="1:9" x14ac:dyDescent="0.2">
      <c r="A148" t="s">
        <v>86</v>
      </c>
      <c r="B148">
        <v>8</v>
      </c>
      <c r="D148">
        <v>2</v>
      </c>
      <c r="E148" t="s">
        <v>1</v>
      </c>
      <c r="H148" s="35">
        <v>1.4476000000000001E-3</v>
      </c>
      <c r="I148" s="35">
        <v>-1.9180000000000001E-6</v>
      </c>
    </row>
    <row r="149" spans="1:9" x14ac:dyDescent="0.2">
      <c r="A149" t="s">
        <v>86</v>
      </c>
      <c r="B149">
        <v>8</v>
      </c>
      <c r="D149">
        <v>2</v>
      </c>
      <c r="E149" t="s">
        <v>2</v>
      </c>
      <c r="H149" s="35">
        <v>-1.053E-4</v>
      </c>
      <c r="I149" s="35">
        <v>1.3944999999999999E-7</v>
      </c>
    </row>
    <row r="150" spans="1:9" x14ac:dyDescent="0.2">
      <c r="A150" t="s">
        <v>86</v>
      </c>
      <c r="B150">
        <v>8</v>
      </c>
      <c r="D150">
        <v>1</v>
      </c>
      <c r="E150" t="s">
        <v>0</v>
      </c>
      <c r="H150" s="35">
        <v>0.11459999999999999</v>
      </c>
      <c r="I150" s="35">
        <v>-1.518E-4</v>
      </c>
    </row>
    <row r="151" spans="1:9" x14ac:dyDescent="0.2">
      <c r="A151" t="s">
        <v>86</v>
      </c>
      <c r="B151">
        <v>8</v>
      </c>
      <c r="D151">
        <v>1</v>
      </c>
      <c r="E151" t="s">
        <v>1</v>
      </c>
      <c r="H151" s="35">
        <v>1.5976E-4</v>
      </c>
      <c r="I151" s="35">
        <v>-2.117E-7</v>
      </c>
    </row>
    <row r="152" spans="1:9" x14ac:dyDescent="0.2">
      <c r="A152" t="s">
        <v>86</v>
      </c>
      <c r="B152">
        <v>8</v>
      </c>
      <c r="D152">
        <v>1</v>
      </c>
      <c r="E152" t="s">
        <v>2</v>
      </c>
      <c r="H152" s="35">
        <v>-2.1829999999999999E-5</v>
      </c>
      <c r="I152" s="35">
        <v>2.8918999999999999E-8</v>
      </c>
    </row>
    <row r="153" spans="1:9" x14ac:dyDescent="0.2">
      <c r="A153" t="s">
        <v>86</v>
      </c>
      <c r="B153">
        <v>9</v>
      </c>
      <c r="E153" t="s">
        <v>89</v>
      </c>
      <c r="H153">
        <v>6.9099999999999995E-2</v>
      </c>
      <c r="I153">
        <v>6.9099999999999995E-2</v>
      </c>
    </row>
    <row r="154" spans="1:9" x14ac:dyDescent="0.2">
      <c r="A154" t="s">
        <v>86</v>
      </c>
      <c r="B154">
        <v>9</v>
      </c>
      <c r="E154" t="s">
        <v>90</v>
      </c>
      <c r="H154">
        <v>0</v>
      </c>
      <c r="I154">
        <v>0.01</v>
      </c>
    </row>
    <row r="155" spans="1:9" x14ac:dyDescent="0.2">
      <c r="A155" t="s">
        <v>86</v>
      </c>
      <c r="B155">
        <v>9</v>
      </c>
      <c r="C155">
        <v>6.9000000000000006E-2</v>
      </c>
      <c r="D155">
        <v>5</v>
      </c>
      <c r="E155" t="s">
        <v>0</v>
      </c>
      <c r="H155" s="35">
        <v>-1.2289999999999999E-5</v>
      </c>
      <c r="I155" s="35">
        <v>2.101E-3</v>
      </c>
    </row>
    <row r="156" spans="1:9" x14ac:dyDescent="0.2">
      <c r="A156" t="s">
        <v>86</v>
      </c>
      <c r="B156">
        <v>9</v>
      </c>
      <c r="D156">
        <v>5</v>
      </c>
      <c r="E156" t="s">
        <v>1</v>
      </c>
      <c r="H156" s="35">
        <v>3.1823999999999999E-5</v>
      </c>
      <c r="I156" s="35">
        <v>-5.4400000000000004E-3</v>
      </c>
    </row>
    <row r="157" spans="1:9" x14ac:dyDescent="0.2">
      <c r="A157" t="s">
        <v>86</v>
      </c>
      <c r="B157">
        <v>9</v>
      </c>
      <c r="D157">
        <v>5</v>
      </c>
      <c r="E157" t="s">
        <v>2</v>
      </c>
      <c r="H157" s="35">
        <v>-2.0899999999999999E-6</v>
      </c>
      <c r="I157" s="35">
        <v>3.5720000000000001E-4</v>
      </c>
    </row>
    <row r="158" spans="1:9" x14ac:dyDescent="0.2">
      <c r="A158" t="s">
        <v>86</v>
      </c>
      <c r="B158">
        <v>9</v>
      </c>
      <c r="D158">
        <v>4</v>
      </c>
      <c r="E158" t="s">
        <v>0</v>
      </c>
      <c r="H158" s="35">
        <v>2.3997999999999999E-6</v>
      </c>
      <c r="I158" s="35">
        <v>-4.102E-4</v>
      </c>
    </row>
    <row r="159" spans="1:9" x14ac:dyDescent="0.2">
      <c r="A159" t="s">
        <v>86</v>
      </c>
      <c r="B159">
        <v>9</v>
      </c>
      <c r="D159">
        <v>4</v>
      </c>
      <c r="E159" t="s">
        <v>1</v>
      </c>
      <c r="H159" s="35">
        <v>-1.0000000000000001E-5</v>
      </c>
      <c r="I159" s="35">
        <v>1.7101E-3</v>
      </c>
    </row>
    <row r="160" spans="1:9" x14ac:dyDescent="0.2">
      <c r="A160" t="s">
        <v>86</v>
      </c>
      <c r="B160">
        <v>9</v>
      </c>
      <c r="D160">
        <v>4</v>
      </c>
      <c r="E160" t="s">
        <v>2</v>
      </c>
      <c r="H160" s="35">
        <v>5.4911999999999998E-7</v>
      </c>
      <c r="I160" s="35">
        <v>-9.3869999999999994E-5</v>
      </c>
    </row>
    <row r="161" spans="1:9" x14ac:dyDescent="0.2">
      <c r="A161" t="s">
        <v>86</v>
      </c>
      <c r="B161">
        <v>9</v>
      </c>
      <c r="D161">
        <v>3</v>
      </c>
      <c r="E161" t="s">
        <v>0</v>
      </c>
      <c r="H161" s="35">
        <v>1.5366000000000002E-5</v>
      </c>
      <c r="I161" s="35">
        <v>-2.627E-3</v>
      </c>
    </row>
    <row r="162" spans="1:9" x14ac:dyDescent="0.2">
      <c r="A162" t="s">
        <v>86</v>
      </c>
      <c r="B162">
        <v>9</v>
      </c>
      <c r="D162">
        <v>3</v>
      </c>
      <c r="E162" t="s">
        <v>1</v>
      </c>
      <c r="H162" s="35">
        <v>-3.6650000000000003E-5</v>
      </c>
      <c r="I162" s="35">
        <v>6.2649999999999997E-3</v>
      </c>
    </row>
    <row r="163" spans="1:9" x14ac:dyDescent="0.2">
      <c r="A163" t="s">
        <v>86</v>
      </c>
      <c r="B163">
        <v>9</v>
      </c>
      <c r="D163">
        <v>3</v>
      </c>
      <c r="E163" t="s">
        <v>2</v>
      </c>
      <c r="H163" s="35">
        <v>2.7010000000000001E-6</v>
      </c>
      <c r="I163" s="35">
        <v>-4.617E-4</v>
      </c>
    </row>
    <row r="164" spans="1:9" x14ac:dyDescent="0.2">
      <c r="A164" t="s">
        <v>86</v>
      </c>
      <c r="B164">
        <v>9</v>
      </c>
      <c r="D164">
        <v>2</v>
      </c>
      <c r="E164" t="s">
        <v>0</v>
      </c>
      <c r="H164" s="35">
        <v>-4.4220000000000002E-6</v>
      </c>
      <c r="I164" s="35">
        <v>7.5591000000000005E-4</v>
      </c>
    </row>
    <row r="165" spans="1:9" x14ac:dyDescent="0.2">
      <c r="A165" t="s">
        <v>86</v>
      </c>
      <c r="B165">
        <v>9</v>
      </c>
      <c r="D165">
        <v>2</v>
      </c>
      <c r="E165" t="s">
        <v>1</v>
      </c>
      <c r="H165" s="35">
        <v>1.2294E-5</v>
      </c>
      <c r="I165" s="35">
        <v>-2.101E-3</v>
      </c>
    </row>
    <row r="166" spans="1:9" x14ac:dyDescent="0.2">
      <c r="A166" t="s">
        <v>86</v>
      </c>
      <c r="B166">
        <v>9</v>
      </c>
      <c r="D166">
        <v>2</v>
      </c>
      <c r="E166" t="s">
        <v>2</v>
      </c>
      <c r="H166" s="35">
        <v>-8.1689999999999996E-7</v>
      </c>
      <c r="I166" s="35">
        <v>1.3962999999999999E-4</v>
      </c>
    </row>
    <row r="167" spans="1:9" x14ac:dyDescent="0.2">
      <c r="A167" t="s">
        <v>86</v>
      </c>
      <c r="B167">
        <v>9</v>
      </c>
      <c r="D167">
        <v>1</v>
      </c>
      <c r="E167" t="s">
        <v>0</v>
      </c>
      <c r="H167" s="35">
        <v>-1.5930000000000002E-5</v>
      </c>
      <c r="I167" s="35">
        <v>2.7222000000000001E-3</v>
      </c>
    </row>
    <row r="168" spans="1:9" x14ac:dyDescent="0.2">
      <c r="A168" t="s">
        <v>86</v>
      </c>
      <c r="B168">
        <v>9</v>
      </c>
      <c r="D168">
        <v>1</v>
      </c>
      <c r="E168" t="s">
        <v>1</v>
      </c>
      <c r="H168" s="35">
        <v>3.7540999999999999E-5</v>
      </c>
      <c r="I168" s="35">
        <v>-6.417E-3</v>
      </c>
    </row>
    <row r="169" spans="1:9" x14ac:dyDescent="0.2">
      <c r="A169" t="s">
        <v>86</v>
      </c>
      <c r="B169">
        <v>9</v>
      </c>
      <c r="D169">
        <v>1</v>
      </c>
      <c r="E169" t="s">
        <v>2</v>
      </c>
      <c r="H169" s="35">
        <v>-2.7980000000000001E-6</v>
      </c>
      <c r="I169" s="35">
        <v>4.7827999999999998E-4</v>
      </c>
    </row>
    <row r="170" spans="1:9" x14ac:dyDescent="0.2">
      <c r="A170" t="s">
        <v>86</v>
      </c>
      <c r="B170">
        <v>10</v>
      </c>
      <c r="E170" t="s">
        <v>89</v>
      </c>
      <c r="H170">
        <v>5.96E-2</v>
      </c>
      <c r="I170">
        <v>5.96E-2</v>
      </c>
    </row>
    <row r="171" spans="1:9" x14ac:dyDescent="0.2">
      <c r="A171" t="s">
        <v>86</v>
      </c>
      <c r="B171">
        <v>10</v>
      </c>
      <c r="E171" t="s">
        <v>90</v>
      </c>
      <c r="H171">
        <v>0</v>
      </c>
      <c r="I171">
        <v>0.84599999999999997</v>
      </c>
    </row>
    <row r="172" spans="1:9" x14ac:dyDescent="0.2">
      <c r="A172" t="s">
        <v>86</v>
      </c>
      <c r="B172">
        <v>10</v>
      </c>
      <c r="C172">
        <v>0.06</v>
      </c>
      <c r="D172">
        <v>5</v>
      </c>
      <c r="E172" t="s">
        <v>0</v>
      </c>
      <c r="H172" s="35">
        <v>-1.621E-6</v>
      </c>
      <c r="I172" s="35">
        <v>9.1241E-4</v>
      </c>
    </row>
    <row r="173" spans="1:9" x14ac:dyDescent="0.2">
      <c r="A173" t="s">
        <v>86</v>
      </c>
      <c r="B173">
        <v>10</v>
      </c>
      <c r="D173">
        <v>5</v>
      </c>
      <c r="E173" t="s">
        <v>1</v>
      </c>
      <c r="H173" s="35">
        <v>4.8979E-5</v>
      </c>
      <c r="I173" s="35">
        <v>-2.7570000000000001E-2</v>
      </c>
    </row>
    <row r="174" spans="1:9" x14ac:dyDescent="0.2">
      <c r="A174" t="s">
        <v>86</v>
      </c>
      <c r="B174">
        <v>10</v>
      </c>
      <c r="D174">
        <v>5</v>
      </c>
      <c r="E174" t="s">
        <v>2</v>
      </c>
      <c r="H174" s="35">
        <v>-2.4079999999999999E-7</v>
      </c>
      <c r="I174" s="35">
        <v>1.3553999999999999E-4</v>
      </c>
    </row>
    <row r="175" spans="1:9" x14ac:dyDescent="0.2">
      <c r="A175" t="s">
        <v>86</v>
      </c>
      <c r="B175">
        <v>10</v>
      </c>
      <c r="D175">
        <v>4</v>
      </c>
      <c r="E175" t="s">
        <v>0</v>
      </c>
      <c r="H175" s="35">
        <v>2.6178000000000002E-6</v>
      </c>
      <c r="I175" s="35">
        <v>-1.474E-3</v>
      </c>
    </row>
    <row r="176" spans="1:9" x14ac:dyDescent="0.2">
      <c r="A176" t="s">
        <v>86</v>
      </c>
      <c r="B176">
        <v>10</v>
      </c>
      <c r="D176">
        <v>4</v>
      </c>
      <c r="E176" t="s">
        <v>1</v>
      </c>
      <c r="H176" s="35">
        <v>-5.024E-5</v>
      </c>
      <c r="I176" s="35">
        <v>2.8281000000000001E-2</v>
      </c>
    </row>
    <row r="177" spans="1:9" x14ac:dyDescent="0.2">
      <c r="A177" t="s">
        <v>86</v>
      </c>
      <c r="B177">
        <v>10</v>
      </c>
      <c r="D177">
        <v>4</v>
      </c>
      <c r="E177" t="s">
        <v>2</v>
      </c>
      <c r="H177" s="35">
        <v>4.4789999999999998E-7</v>
      </c>
      <c r="I177" s="35">
        <v>-2.521E-4</v>
      </c>
    </row>
    <row r="178" spans="1:9" x14ac:dyDescent="0.2">
      <c r="A178" t="s">
        <v>86</v>
      </c>
      <c r="B178">
        <v>10</v>
      </c>
      <c r="D178">
        <v>3</v>
      </c>
      <c r="E178" t="s">
        <v>0</v>
      </c>
      <c r="H178" s="35">
        <v>-4.0230000000000003E-6</v>
      </c>
      <c r="I178" s="35">
        <v>2.2648E-3</v>
      </c>
    </row>
    <row r="179" spans="1:9" x14ac:dyDescent="0.2">
      <c r="A179" t="s">
        <v>86</v>
      </c>
      <c r="B179">
        <v>10</v>
      </c>
      <c r="D179">
        <v>3</v>
      </c>
      <c r="E179" t="s">
        <v>1</v>
      </c>
      <c r="H179" s="35">
        <v>1.1854E-5</v>
      </c>
      <c r="I179" s="35">
        <v>-6.6730000000000001E-3</v>
      </c>
    </row>
    <row r="180" spans="1:9" x14ac:dyDescent="0.2">
      <c r="A180" t="s">
        <v>86</v>
      </c>
      <c r="B180">
        <v>10</v>
      </c>
      <c r="D180">
        <v>3</v>
      </c>
      <c r="E180" t="s">
        <v>2</v>
      </c>
      <c r="H180" s="35">
        <v>-7.2180000000000002E-7</v>
      </c>
      <c r="I180" s="35">
        <v>4.0630000000000001E-4</v>
      </c>
    </row>
    <row r="181" spans="1:9" x14ac:dyDescent="0.2">
      <c r="A181" t="s">
        <v>86</v>
      </c>
      <c r="B181">
        <v>10</v>
      </c>
      <c r="D181">
        <v>2</v>
      </c>
      <c r="E181" t="s">
        <v>0</v>
      </c>
      <c r="H181" s="35">
        <v>-5.5400000000000001E-7</v>
      </c>
      <c r="I181" s="35">
        <v>3.1187000000000001E-4</v>
      </c>
    </row>
    <row r="182" spans="1:9" x14ac:dyDescent="0.2">
      <c r="A182" t="s">
        <v>86</v>
      </c>
      <c r="B182">
        <v>10</v>
      </c>
      <c r="D182">
        <v>2</v>
      </c>
      <c r="E182" t="s">
        <v>1</v>
      </c>
      <c r="H182" s="35">
        <v>3.6319000000000002E-5</v>
      </c>
      <c r="I182" s="35">
        <v>-2.044E-2</v>
      </c>
    </row>
    <row r="183" spans="1:9" x14ac:dyDescent="0.2">
      <c r="A183" t="s">
        <v>86</v>
      </c>
      <c r="B183">
        <v>10</v>
      </c>
      <c r="D183">
        <v>2</v>
      </c>
      <c r="E183" t="s">
        <v>2</v>
      </c>
      <c r="H183" s="35">
        <v>-7.617E-8</v>
      </c>
      <c r="I183" s="35">
        <v>4.2874000000000003E-5</v>
      </c>
    </row>
    <row r="184" spans="1:9" x14ac:dyDescent="0.2">
      <c r="A184" t="s">
        <v>86</v>
      </c>
      <c r="B184">
        <v>10</v>
      </c>
      <c r="D184">
        <v>1</v>
      </c>
      <c r="E184" t="s">
        <v>0</v>
      </c>
      <c r="H184" s="35">
        <v>4.2742999999999999E-6</v>
      </c>
      <c r="I184" s="35">
        <v>-2.4060000000000002E-3</v>
      </c>
    </row>
    <row r="185" spans="1:9" x14ac:dyDescent="0.2">
      <c r="A185" t="s">
        <v>86</v>
      </c>
      <c r="B185">
        <v>10</v>
      </c>
      <c r="D185">
        <v>1</v>
      </c>
      <c r="E185" t="s">
        <v>1</v>
      </c>
      <c r="H185" s="35">
        <v>-4.9929999999999998E-5</v>
      </c>
      <c r="I185" s="35">
        <v>2.8108000000000001E-2</v>
      </c>
    </row>
    <row r="186" spans="1:9" x14ac:dyDescent="0.2">
      <c r="A186" t="s">
        <v>86</v>
      </c>
      <c r="B186">
        <v>10</v>
      </c>
      <c r="D186">
        <v>1</v>
      </c>
      <c r="E186" t="s">
        <v>2</v>
      </c>
      <c r="H186" s="35">
        <v>7.3888000000000001E-7</v>
      </c>
      <c r="I186" s="35">
        <v>-4.1590000000000003E-4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0" zoomScale="90" zoomScaleNormal="90" workbookViewId="0">
      <selection activeCell="A16" sqref="A16:B19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5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0.54700000000000004</v>
      </c>
      <c r="S2" s="34">
        <f>IF($Q2="","",HLOOKUP($Q2,'Elab-Modi'!$C$5:$AF$38,33,FALSE)/100)</f>
        <v>0</v>
      </c>
      <c r="T2" s="34">
        <f>IF($Q2="","",HLOOKUP($Q2,'Elab-Modi'!$C$5:$AF$38,34,FALSE)/100)</f>
        <v>0.83921999999999997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0.51800000000000002</v>
      </c>
      <c r="S3" s="34">
        <f>IF($Q3="","",HLOOKUP($Q3,'Elab-Modi'!$C$5:$AF$38,33,FALSE)/100)</f>
        <v>0.85553999999999997</v>
      </c>
      <c r="T3" s="34">
        <f>IF($Q3="","",HLOOKUP($Q3,'Elab-Modi'!$C$5:$AF$38,34,FALSE)/100)</f>
        <v>0</v>
      </c>
    </row>
    <row r="4" spans="1:20" x14ac:dyDescent="0.2">
      <c r="A4" s="6" t="s">
        <v>23</v>
      </c>
      <c r="B4" s="30">
        <v>6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0.42099999999999999</v>
      </c>
      <c r="S4" s="34">
        <f>IF($Q4="","",HLOOKUP($Q4,'Elab-Modi'!$C$5:$AF$38,33,FALSE)/100)</f>
        <v>8.0000000000000007E-5</v>
      </c>
      <c r="T4" s="34">
        <f>IF($Q4="","",HLOOKUP($Q4,'Elab-Modi'!$C$5:$AF$38,34,FALSE)/100)</f>
        <v>4.3699999999999998E-3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0.17499999999999999</v>
      </c>
      <c r="S5" s="34">
        <f>IF($Q5="","",HLOOKUP($Q5,'Elab-Modi'!$C$5:$AF$38,33,FALSE)/100)</f>
        <v>0</v>
      </c>
      <c r="T5" s="34">
        <f>IF($Q5="","",HLOOKUP($Q5,'Elab-Modi'!$C$5:$AF$38,34,FALSE)/100)</f>
        <v>0.10967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0.16900000000000001</v>
      </c>
      <c r="S6" s="34">
        <f>IF($Q6="","",HLOOKUP($Q6,'Elab-Modi'!$C$5:$AF$38,33,FALSE)/100)</f>
        <v>0.10301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 t="str">
        <f t="shared" si="1"/>
        <v/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0.13500000000000001</v>
      </c>
      <c r="S7" s="34">
        <f>IF($Q7="","",HLOOKUP($Q7,'Elab-Modi'!$C$5:$AF$38,33,FALSE)/100)</f>
        <v>0</v>
      </c>
      <c r="T7" s="34">
        <f>IF($Q7="","",HLOOKUP($Q7,'Elab-Modi'!$C$5:$AF$38,34,FALSE)/100)</f>
        <v>1.0000000000000001E-5</v>
      </c>
    </row>
    <row r="8" spans="1:20" x14ac:dyDescent="0.2">
      <c r="A8" s="1" t="s">
        <v>7</v>
      </c>
      <c r="B8" s="31">
        <v>0</v>
      </c>
      <c r="C8" s="31">
        <v>0</v>
      </c>
      <c r="D8" s="31">
        <v>16.399999999999999</v>
      </c>
      <c r="E8" s="31">
        <v>16.399999999999999</v>
      </c>
      <c r="F8" s="31">
        <v>24.9</v>
      </c>
      <c r="G8" s="31">
        <v>24.9</v>
      </c>
      <c r="H8" s="31"/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9.0999999999999998E-2</v>
      </c>
      <c r="S8" s="34">
        <f>IF($Q8="","",HLOOKUP($Q8,'Elab-Modi'!$C$5:$AF$38,33,FALSE)/100)</f>
        <v>0</v>
      </c>
      <c r="T8" s="34">
        <f>IF($Q8="","",HLOOKUP($Q8,'Elab-Modi'!$C$5:$AF$38,34,FALSE)/100)</f>
        <v>3.5200000000000002E-2</v>
      </c>
    </row>
    <row r="9" spans="1:20" x14ac:dyDescent="0.2">
      <c r="A9" s="1" t="s">
        <v>8</v>
      </c>
      <c r="B9" s="31">
        <v>0</v>
      </c>
      <c r="C9" s="31">
        <v>8.5</v>
      </c>
      <c r="D9" s="31">
        <v>8.5</v>
      </c>
      <c r="E9" s="31">
        <v>14</v>
      </c>
      <c r="F9" s="31">
        <v>14</v>
      </c>
      <c r="G9" s="31">
        <v>0</v>
      </c>
      <c r="H9" s="31"/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8.8999999999999996E-2</v>
      </c>
      <c r="S9" s="34">
        <f>IF($Q9="","",HLOOKUP($Q9,'Elab-Modi'!$C$5:$AF$38,33,FALSE)/100)</f>
        <v>3.2440000000000004E-2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6.9000000000000006E-2</v>
      </c>
      <c r="S10" s="34">
        <f>IF($Q10="","",HLOOKUP($Q10,'Elab-Modi'!$C$5:$AF$38,33,FALSE)/100)</f>
        <v>0</v>
      </c>
      <c r="T10" s="34">
        <f>IF($Q10="","",HLOOKUP($Q10,'Elab-Modi'!$C$5:$AF$38,34,FALSE)/100)</f>
        <v>1E-4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0.06</v>
      </c>
      <c r="S11" s="34">
        <f>IF($Q11="","",HLOOKUP($Q11,'Elab-Modi'!$C$5:$AF$38,33,FALSE)/100)</f>
        <v>0</v>
      </c>
      <c r="T11" s="34">
        <f>IF($Q11="","",HLOOKUP($Q11,'Elab-Modi'!$C$5:$AF$38,34,FALSE)/100)</f>
        <v>8.4600000000000005E-3</v>
      </c>
    </row>
    <row r="12" spans="1:20" x14ac:dyDescent="0.2">
      <c r="A12" s="6" t="s">
        <v>3</v>
      </c>
      <c r="B12" s="30">
        <v>4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0.17499999999999999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 t="str">
        <f t="shared" si="0"/>
        <v/>
      </c>
      <c r="R17" s="24" t="str">
        <f>IF(Q17="","",HLOOKUP(Q17,'Elab-Modi'!$C$5:$AF$36,32))</f>
        <v/>
      </c>
      <c r="S17" s="34" t="str">
        <f>IF($Q17="","",HLOOKUP($Q17,'Elab-Modi'!$C$5:$AF$38,33,FALSE)/100)</f>
        <v/>
      </c>
      <c r="T17" s="34" t="str">
        <f>IF($Q17="","",HLOOKUP($Q17,'Elab-Modi'!$C$5:$AF$38,34,FALSE)/100)</f>
        <v/>
      </c>
    </row>
    <row r="18" spans="1:20" x14ac:dyDescent="0.2">
      <c r="A18" s="6" t="s">
        <v>19</v>
      </c>
      <c r="B18" s="27">
        <f>VLOOKUP(B12,Q2:T31,3)</f>
        <v>0</v>
      </c>
      <c r="C18" s="23"/>
      <c r="Q18" s="6" t="str">
        <f t="shared" si="0"/>
        <v/>
      </c>
      <c r="R18" s="24" t="str">
        <f>IF(Q18="","",HLOOKUP(Q18,'Elab-Modi'!$C$5:$AF$36,32))</f>
        <v/>
      </c>
      <c r="S18" s="34" t="str">
        <f>IF($Q18="","",HLOOKUP($Q18,'Elab-Modi'!$C$5:$AF$38,33,FALSE)/100)</f>
        <v/>
      </c>
      <c r="T18" s="34" t="str">
        <f>IF($Q18="","",HLOOKUP($Q18,'Elab-Modi'!$C$5:$AF$38,34,FALSE)/100)</f>
        <v/>
      </c>
    </row>
    <row r="19" spans="1:20" x14ac:dyDescent="0.2">
      <c r="A19" s="6" t="s">
        <v>20</v>
      </c>
      <c r="B19" s="27">
        <f>VLOOKUP(B12,Q2:T31,4)</f>
        <v>0.10967</v>
      </c>
      <c r="C19" s="23"/>
      <c r="Q19" s="6" t="str">
        <f t="shared" si="0"/>
        <v/>
      </c>
      <c r="R19" s="24" t="str">
        <f>IF(Q19="","",HLOOKUP(Q19,'Elab-Modi'!$C$5:$AF$36,32))</f>
        <v/>
      </c>
      <c r="S19" s="34" t="str">
        <f>IF($Q19="","",HLOOKUP($Q19,'Elab-Modi'!$C$5:$AF$38,33,FALSE)/100)</f>
        <v/>
      </c>
      <c r="T19" s="34" t="str">
        <f>IF($Q19="","",HLOOKUP($Q19,'Elab-Modi'!$C$5:$AF$38,34,FALSE)/100)</f>
        <v/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5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5</v>
      </c>
      <c r="B6" s="4" t="s">
        <v>0</v>
      </c>
      <c r="C6" s="32">
        <f>IF(ABS(D$44)&gt;ABS(E$44),D44,E44)</f>
        <v>0.65546000000000004</v>
      </c>
      <c r="D6" s="32">
        <f>IF(ABS(F$44)&gt;ABS(G$44),F44,G44)</f>
        <v>13.788</v>
      </c>
      <c r="E6" s="32">
        <f>IF(ABS(H$44)&gt;ABS(I$44),H44,I44)</f>
        <v>-0.51439999999999997</v>
      </c>
      <c r="F6" s="32">
        <f>IF(ABS(J$44)&gt;ABS(K$44),J44,K44)</f>
        <v>4.2982999999999997E-3</v>
      </c>
      <c r="G6" s="32">
        <f>IF(ABS(L$44)&gt;ABS(M$44),L44,M44)</f>
        <v>-0.52800000000000002</v>
      </c>
      <c r="H6" s="32">
        <f>IF(ABS(N$44)&gt;ABS(O$44),N44,O44)</f>
        <v>2.2125000000000001E-3</v>
      </c>
      <c r="I6" s="32">
        <f>IF(ABS(P$44)&gt;ABS(Q$44),P44,Q44)</f>
        <v>-4.1850000000000004E-3</v>
      </c>
      <c r="J6" s="32">
        <f>IF(ABS(R$44)&gt;ABS(S$44),R44,S44)</f>
        <v>8.3354999999999999E-2</v>
      </c>
      <c r="K6" s="32">
        <f>IF(ABS(T$44)&gt;ABS(U$44),T44,U44)</f>
        <v>2.101E-3</v>
      </c>
      <c r="L6" s="32">
        <f>IF(ABS(V$44)&gt;ABS(W$44),V44,W44)</f>
        <v>9.1241E-4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13.083</v>
      </c>
      <c r="D7" s="32">
        <f>IF(ABS(F$44)&gt;ABS(G$44),F45,G45)</f>
        <v>0.18851999999999999</v>
      </c>
      <c r="E7" s="32">
        <f>IF(ABS(H$44)&gt;ABS(I$44),H45,I45)</f>
        <v>1.2975000000000001</v>
      </c>
      <c r="F7" s="32">
        <f>IF(ABS(J$44)&gt;ABS(K$44),J45,K45)</f>
        <v>-0.61939999999999995</v>
      </c>
      <c r="G7" s="32">
        <f>IF(ABS(L$44)&gt;ABS(M$44),L45,M45)</f>
        <v>1.9207999999999999E-2</v>
      </c>
      <c r="H7" s="32">
        <f>IF(ABS(N$44)&gt;ABS(O$44),N45,O45)</f>
        <v>-5.4749999999999998E-3</v>
      </c>
      <c r="I7" s="32">
        <f>IF(ABS(P$44)&gt;ABS(Q$44),P45,Q45)</f>
        <v>0.10816000000000001</v>
      </c>
      <c r="J7" s="32">
        <f>IF(ABS(R$44)&gt;ABS(S$44),R45,S45)</f>
        <v>-6.8760000000000002E-3</v>
      </c>
      <c r="K7" s="32">
        <f>IF(ABS(T$44)&gt;ABS(U$44),T45,U45)</f>
        <v>-5.4400000000000004E-3</v>
      </c>
      <c r="L7" s="32">
        <f>IF(ABS(V$44)&gt;ABS(W$44),V45,W45)</f>
        <v>-2.7570000000000001E-2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0.11625000000000001</v>
      </c>
      <c r="D8" s="33">
        <f>IF(ABS(F$44)&gt;ABS(G$44),F46,G46)</f>
        <v>-1.153E-2</v>
      </c>
      <c r="E8" s="33">
        <f>IF(ABS(H$44)&gt;ABS(I$44),H46,I46)</f>
        <v>-8.8209999999999997E-2</v>
      </c>
      <c r="F8" s="33">
        <f>IF(ABS(J$44)&gt;ABS(K$44),J46,K46)</f>
        <v>1.3286000000000001E-3</v>
      </c>
      <c r="G8" s="33">
        <f>IF(ABS(L$44)&gt;ABS(M$44),L46,M46)</f>
        <v>-1.1249999999999999E-3</v>
      </c>
      <c r="H8" s="33">
        <f>IF(ABS(N$44)&gt;ABS(O$44),N46,O46)</f>
        <v>3.7353000000000001E-4</v>
      </c>
      <c r="I8" s="33">
        <f>IF(ABS(P$44)&gt;ABS(Q$44),P46,Q46)</f>
        <v>-7.0410000000000004E-4</v>
      </c>
      <c r="J8" s="33">
        <f>IF(ABS(R$44)&gt;ABS(S$44),R46,S46)</f>
        <v>4.6769999999999998E-4</v>
      </c>
      <c r="K8" s="33">
        <f>IF(ABS(T$44)&gt;ABS(U$44),T46,U46)</f>
        <v>3.5720000000000001E-4</v>
      </c>
      <c r="L8" s="33">
        <f>IF(ABS(V$44)&gt;ABS(W$44),V46,W46)</f>
        <v>1.3553999999999999E-4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4</v>
      </c>
      <c r="B9" s="4" t="str">
        <f>IF(A47="","","Vx")</f>
        <v>Vx</v>
      </c>
      <c r="C9" s="32">
        <f t="shared" ref="C9:C35" si="2">IF(A47="","",IF(ABS(D$44)&gt;ABS(E$44),D47,E47))</f>
        <v>0.62865000000000004</v>
      </c>
      <c r="D9" s="32">
        <f t="shared" ref="D9:D35" si="3">IF(D47="","",IF(ABS(F$44)&gt;ABS(G$44),F47,G47))</f>
        <v>12.964</v>
      </c>
      <c r="E9" s="32">
        <f t="shared" ref="E9:E35" si="4">IF(F47="","",IF(ABS(H$44)&gt;ABS(I$44),H47,I47))</f>
        <v>-0.47670000000000001</v>
      </c>
      <c r="F9" s="32">
        <f t="shared" ref="F9:F35" si="5">IF(H47="","",IF(ABS(J$44)&gt;ABS(K$44),J47,K47))</f>
        <v>-1.848E-3</v>
      </c>
      <c r="G9" s="32">
        <f t="shared" ref="G9:G35" si="6">IF(J47="","",IF(ABS(L$44)&gt;ABS(M$44),L47,M47))</f>
        <v>-0.29959999999999998</v>
      </c>
      <c r="H9" s="32">
        <f t="shared" ref="H9:H35" si="7">IF(L47="","",IF(ABS(N$44)&gt;ABS(O$44),N47,O47))</f>
        <v>1.1022E-3</v>
      </c>
      <c r="I9" s="32">
        <f t="shared" ref="I9:I35" si="8">IF(N47="","",IF(ABS(P$44)&gt;ABS(Q$44),P47,Q47))</f>
        <v>2.0179E-3</v>
      </c>
      <c r="J9" s="32">
        <f t="shared" ref="J9:J35" si="9">IF(P47="","",IF(ABS(R$44)&gt;ABS(S$44),R47,S47))</f>
        <v>-5.1209999999999997E-3</v>
      </c>
      <c r="K9" s="32">
        <f t="shared" ref="K9:K35" si="10">IF(R47="","",IF(ABS(T$44)&gt;ABS(U$44),T47,U47))</f>
        <v>-4.102E-4</v>
      </c>
      <c r="L9" s="32">
        <f t="shared" ref="L9:L35" si="11">IF(T47="","",IF(ABS(V$44)&gt;ABS(W$44),V47,W47))</f>
        <v>-1.474E-3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12.071</v>
      </c>
      <c r="D10" s="32">
        <f t="shared" si="3"/>
        <v>0.13558999999999999</v>
      </c>
      <c r="E10" s="32">
        <f t="shared" si="4"/>
        <v>1.1943999999999999</v>
      </c>
      <c r="F10" s="32">
        <f t="shared" si="5"/>
        <v>-0.29189999999999999</v>
      </c>
      <c r="G10" s="32">
        <f t="shared" si="6"/>
        <v>2.0397999999999999E-2</v>
      </c>
      <c r="H10" s="32">
        <f t="shared" si="7"/>
        <v>-2.5019999999999999E-3</v>
      </c>
      <c r="I10" s="32">
        <f t="shared" si="8"/>
        <v>-2.8920000000000001E-2</v>
      </c>
      <c r="J10" s="32">
        <f t="shared" si="9"/>
        <v>-4.0130000000000001E-3</v>
      </c>
      <c r="K10" s="32">
        <f t="shared" si="10"/>
        <v>1.7101E-3</v>
      </c>
      <c r="L10" s="32">
        <f t="shared" si="11"/>
        <v>2.8281000000000001E-2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0.11106000000000001</v>
      </c>
      <c r="D11" s="33">
        <f t="shared" si="3"/>
        <v>-8.1259999999999995E-3</v>
      </c>
      <c r="E11" s="33">
        <f t="shared" si="4"/>
        <v>-8.1360000000000002E-2</v>
      </c>
      <c r="F11" s="33">
        <f t="shared" si="5"/>
        <v>9.0457000000000005E-6</v>
      </c>
      <c r="G11" s="33">
        <f t="shared" si="6"/>
        <v>-1.31E-3</v>
      </c>
      <c r="H11" s="33">
        <f t="shared" si="7"/>
        <v>1.7694999999999999E-4</v>
      </c>
      <c r="I11" s="33">
        <f t="shared" si="8"/>
        <v>3.8064000000000001E-4</v>
      </c>
      <c r="J11" s="33">
        <f t="shared" si="9"/>
        <v>2.8563999999999998E-4</v>
      </c>
      <c r="K11" s="33">
        <f t="shared" si="10"/>
        <v>-9.3869999999999994E-5</v>
      </c>
      <c r="L11" s="33">
        <f t="shared" si="11"/>
        <v>-2.521E-4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3</v>
      </c>
      <c r="B12" s="4" t="str">
        <f>IF(A50="","","Vx")</f>
        <v>Vx</v>
      </c>
      <c r="C12" s="32">
        <f t="shared" si="2"/>
        <v>0.47782999999999998</v>
      </c>
      <c r="D12" s="32">
        <f t="shared" si="3"/>
        <v>10.352</v>
      </c>
      <c r="E12" s="32">
        <f t="shared" si="4"/>
        <v>-0.374</v>
      </c>
      <c r="F12" s="32">
        <f t="shared" si="5"/>
        <v>9.5812999999999992E-3</v>
      </c>
      <c r="G12" s="32">
        <f t="shared" si="6"/>
        <v>0.27322000000000002</v>
      </c>
      <c r="H12" s="32">
        <f t="shared" si="7"/>
        <v>-1.2359999999999999E-3</v>
      </c>
      <c r="I12" s="32">
        <f t="shared" si="8"/>
        <v>2.7196000000000002E-4</v>
      </c>
      <c r="J12" s="32">
        <f t="shared" si="9"/>
        <v>-0.1143</v>
      </c>
      <c r="K12" s="32">
        <f t="shared" si="10"/>
        <v>-2.627E-3</v>
      </c>
      <c r="L12" s="32">
        <f t="shared" si="11"/>
        <v>2.2648E-3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9.5589999999999993</v>
      </c>
      <c r="D13" s="32">
        <f t="shared" si="3"/>
        <v>5.7918999999999998E-2</v>
      </c>
      <c r="E13" s="32">
        <f t="shared" si="4"/>
        <v>0.93205000000000005</v>
      </c>
      <c r="F13" s="32">
        <f t="shared" si="5"/>
        <v>0.31231999999999999</v>
      </c>
      <c r="G13" s="32">
        <f t="shared" si="6"/>
        <v>1.5509999999999999E-2</v>
      </c>
      <c r="H13" s="32">
        <f t="shared" si="7"/>
        <v>3.1939999999999998E-3</v>
      </c>
      <c r="I13" s="32">
        <f t="shared" si="8"/>
        <v>-0.1179</v>
      </c>
      <c r="J13" s="32">
        <f t="shared" si="9"/>
        <v>1.3152999999999999E-3</v>
      </c>
      <c r="K13" s="32">
        <f t="shared" si="10"/>
        <v>6.2649999999999997E-3</v>
      </c>
      <c r="L13" s="32">
        <f t="shared" si="11"/>
        <v>-6.6730000000000001E-3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8.3955000000000002E-2</v>
      </c>
      <c r="D14" s="33">
        <f t="shared" si="3"/>
        <v>-2.8999999999999998E-3</v>
      </c>
      <c r="E14" s="33">
        <f t="shared" si="4"/>
        <v>-6.3259999999999997E-2</v>
      </c>
      <c r="F14" s="33">
        <f t="shared" si="5"/>
        <v>1.3313000000000001E-3</v>
      </c>
      <c r="G14" s="33">
        <f t="shared" si="6"/>
        <v>-1.225E-3</v>
      </c>
      <c r="H14" s="33">
        <f t="shared" si="7"/>
        <v>-2.2489999999999999E-4</v>
      </c>
      <c r="I14" s="33">
        <f t="shared" si="8"/>
        <v>7.0998E-5</v>
      </c>
      <c r="J14" s="33">
        <f t="shared" si="9"/>
        <v>-8.2330000000000006E-5</v>
      </c>
      <c r="K14" s="33">
        <f t="shared" si="10"/>
        <v>-4.617E-4</v>
      </c>
      <c r="L14" s="33">
        <f t="shared" si="11"/>
        <v>4.0630000000000001E-4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2</v>
      </c>
      <c r="B15" s="4" t="str">
        <f>IF(A53="","","Vx")</f>
        <v>Vx</v>
      </c>
      <c r="C15" s="32">
        <f t="shared" si="2"/>
        <v>0.30292999999999998</v>
      </c>
      <c r="D15" s="32">
        <f t="shared" si="3"/>
        <v>7.2012999999999998</v>
      </c>
      <c r="E15" s="32">
        <f t="shared" si="4"/>
        <v>-0.25319999999999998</v>
      </c>
      <c r="F15" s="32">
        <f t="shared" si="5"/>
        <v>1.5092E-2</v>
      </c>
      <c r="G15" s="32">
        <f t="shared" si="6"/>
        <v>0.53039999999999998</v>
      </c>
      <c r="H15" s="32">
        <f t="shared" si="7"/>
        <v>-2.2000000000000001E-3</v>
      </c>
      <c r="I15" s="32">
        <f t="shared" si="8"/>
        <v>-1.6069999999999999E-3</v>
      </c>
      <c r="J15" s="32">
        <f t="shared" si="9"/>
        <v>2.1729999999999999E-2</v>
      </c>
      <c r="K15" s="32">
        <f t="shared" si="10"/>
        <v>7.5591000000000005E-4</v>
      </c>
      <c r="L15" s="32">
        <f t="shared" si="11"/>
        <v>3.1187000000000001E-4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6.5467000000000004</v>
      </c>
      <c r="D16" s="32">
        <f t="shared" si="3"/>
        <v>2.7619000000000001E-2</v>
      </c>
      <c r="E16" s="32">
        <f t="shared" si="4"/>
        <v>0.63156999999999996</v>
      </c>
      <c r="F16" s="32">
        <f t="shared" si="5"/>
        <v>0.56606000000000001</v>
      </c>
      <c r="G16" s="32">
        <f t="shared" si="6"/>
        <v>6.378E-3</v>
      </c>
      <c r="H16" s="32">
        <f t="shared" si="7"/>
        <v>5.3788999999999998E-3</v>
      </c>
      <c r="I16" s="32">
        <f t="shared" si="8"/>
        <v>3.7394999999999998E-2</v>
      </c>
      <c r="J16" s="32">
        <f t="shared" si="9"/>
        <v>1.4476000000000001E-3</v>
      </c>
      <c r="K16" s="32">
        <f t="shared" si="10"/>
        <v>-2.101E-3</v>
      </c>
      <c r="L16" s="32">
        <f t="shared" si="11"/>
        <v>-2.044E-2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5.3232000000000002E-2</v>
      </c>
      <c r="D17" s="33">
        <f t="shared" si="3"/>
        <v>-1.1039999999999999E-3</v>
      </c>
      <c r="E17" s="33">
        <f t="shared" si="4"/>
        <v>-4.2630000000000001E-2</v>
      </c>
      <c r="F17" s="33">
        <f t="shared" si="5"/>
        <v>1.9823000000000002E-3</v>
      </c>
      <c r="G17" s="33">
        <f t="shared" si="6"/>
        <v>-6.935E-4</v>
      </c>
      <c r="H17" s="33">
        <f t="shared" si="7"/>
        <v>-3.8109999999999999E-4</v>
      </c>
      <c r="I17" s="33">
        <f t="shared" si="8"/>
        <v>-2.945E-4</v>
      </c>
      <c r="J17" s="33">
        <f t="shared" si="9"/>
        <v>-1.053E-4</v>
      </c>
      <c r="K17" s="33">
        <f t="shared" si="10"/>
        <v>1.3962999999999999E-4</v>
      </c>
      <c r="L17" s="33">
        <f t="shared" si="11"/>
        <v>4.2874000000000003E-5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1</v>
      </c>
      <c r="B18" s="4" t="str">
        <f>IF(A56="","","Vx")</f>
        <v>Vx</v>
      </c>
      <c r="C18" s="32">
        <f t="shared" si="2"/>
        <v>0.12609999999999999</v>
      </c>
      <c r="D18" s="32">
        <f t="shared" si="3"/>
        <v>3.4863</v>
      </c>
      <c r="E18" s="32">
        <f t="shared" si="4"/>
        <v>-0.11650000000000001</v>
      </c>
      <c r="F18" s="32">
        <f t="shared" si="5"/>
        <v>9.5750999999999996E-3</v>
      </c>
      <c r="G18" s="32">
        <f t="shared" si="6"/>
        <v>0.38595000000000002</v>
      </c>
      <c r="H18" s="32">
        <f t="shared" si="7"/>
        <v>-1.5150000000000001E-3</v>
      </c>
      <c r="I18" s="32">
        <f t="shared" si="8"/>
        <v>-1.5479999999999999E-3</v>
      </c>
      <c r="J18" s="32">
        <f t="shared" si="9"/>
        <v>0.11459999999999999</v>
      </c>
      <c r="K18" s="32">
        <f t="shared" si="10"/>
        <v>2.7222000000000001E-3</v>
      </c>
      <c r="L18" s="32">
        <f t="shared" si="11"/>
        <v>-2.4060000000000002E-3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3.0764</v>
      </c>
      <c r="D19" s="32">
        <f t="shared" si="3"/>
        <v>2.0330999999999998E-2</v>
      </c>
      <c r="E19" s="32">
        <f t="shared" si="4"/>
        <v>0.29302</v>
      </c>
      <c r="F19" s="32">
        <f t="shared" si="5"/>
        <v>0.39610000000000001</v>
      </c>
      <c r="G19" s="32">
        <f t="shared" si="6"/>
        <v>2.6248E-3</v>
      </c>
      <c r="H19" s="32">
        <f t="shared" si="7"/>
        <v>3.6770000000000001E-3</v>
      </c>
      <c r="I19" s="32">
        <f t="shared" si="8"/>
        <v>0.12433</v>
      </c>
      <c r="J19" s="32">
        <f t="shared" si="9"/>
        <v>1.5976E-4</v>
      </c>
      <c r="K19" s="32">
        <f t="shared" si="10"/>
        <v>-6.417E-3</v>
      </c>
      <c r="L19" s="32">
        <f t="shared" si="11"/>
        <v>2.8108000000000001E-2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2.2294999999999999E-2</v>
      </c>
      <c r="D20" s="33">
        <f t="shared" si="3"/>
        <v>-1.0349999999999999E-3</v>
      </c>
      <c r="E20" s="33">
        <f t="shared" si="4"/>
        <v>-1.9640000000000001E-2</v>
      </c>
      <c r="F20" s="33">
        <f t="shared" si="5"/>
        <v>1.2080999999999999E-3</v>
      </c>
      <c r="G20" s="33">
        <f t="shared" si="6"/>
        <v>-3.5619999999999998E-4</v>
      </c>
      <c r="H20" s="33">
        <f t="shared" si="7"/>
        <v>-2.6039999999999999E-4</v>
      </c>
      <c r="I20" s="33">
        <f t="shared" si="8"/>
        <v>-3.0630000000000002E-4</v>
      </c>
      <c r="J20" s="33">
        <f t="shared" si="9"/>
        <v>-2.1829999999999999E-5</v>
      </c>
      <c r="K20" s="33">
        <f t="shared" si="10"/>
        <v>4.7827999999999998E-4</v>
      </c>
      <c r="L20" s="33">
        <f t="shared" si="11"/>
        <v>-4.1590000000000003E-4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 t="str">
        <f>IF(B59="","",B59)</f>
        <v/>
      </c>
      <c r="B21" s="4" t="str">
        <f>IF(A59="","","Vx")</f>
        <v/>
      </c>
      <c r="C21" s="32" t="str">
        <f t="shared" si="2"/>
        <v/>
      </c>
      <c r="D21" s="32" t="str">
        <f t="shared" si="3"/>
        <v/>
      </c>
      <c r="E21" s="32" t="str">
        <f t="shared" si="4"/>
        <v/>
      </c>
      <c r="F21" s="32" t="str">
        <f t="shared" si="5"/>
        <v/>
      </c>
      <c r="G21" s="32" t="str">
        <f t="shared" si="6"/>
        <v/>
      </c>
      <c r="H21" s="32" t="str">
        <f t="shared" si="7"/>
        <v/>
      </c>
      <c r="I21" s="32" t="str">
        <f t="shared" si="8"/>
        <v/>
      </c>
      <c r="J21" s="32" t="str">
        <f t="shared" si="9"/>
        <v/>
      </c>
      <c r="K21" s="32" t="str">
        <f t="shared" si="10"/>
        <v/>
      </c>
      <c r="L21" s="32" t="str">
        <f t="shared" si="11"/>
        <v/>
      </c>
      <c r="M21" s="32" t="str">
        <f t="shared" si="12"/>
        <v/>
      </c>
      <c r="N21" s="32" t="str">
        <f t="shared" si="13"/>
        <v/>
      </c>
      <c r="O21" s="32" t="str">
        <f t="shared" si="14"/>
        <v/>
      </c>
      <c r="P21" s="32" t="str">
        <f t="shared" si="15"/>
        <v/>
      </c>
      <c r="Q21" s="32" t="str">
        <f t="shared" si="16"/>
        <v/>
      </c>
      <c r="R21" s="32" t="str">
        <f t="shared" si="17"/>
        <v/>
      </c>
      <c r="S21" s="32" t="str">
        <f t="shared" si="18"/>
        <v/>
      </c>
      <c r="T21" s="32" t="str">
        <f t="shared" si="19"/>
        <v/>
      </c>
      <c r="U21" s="32" t="str">
        <f t="shared" si="20"/>
        <v/>
      </c>
      <c r="V21" s="32" t="str">
        <f t="shared" si="21"/>
        <v/>
      </c>
      <c r="W21" s="32" t="str">
        <f t="shared" si="22"/>
        <v/>
      </c>
      <c r="X21" s="32" t="str">
        <f t="shared" si="23"/>
        <v/>
      </c>
      <c r="Y21" s="32" t="str">
        <f t="shared" si="24"/>
        <v/>
      </c>
      <c r="Z21" s="32" t="str">
        <f t="shared" si="25"/>
        <v/>
      </c>
      <c r="AA21" s="32" t="str">
        <f t="shared" si="26"/>
        <v/>
      </c>
      <c r="AB21" s="32" t="str">
        <f t="shared" si="27"/>
        <v/>
      </c>
      <c r="AC21" s="32" t="str">
        <f t="shared" si="28"/>
        <v/>
      </c>
      <c r="AD21" s="32" t="str">
        <f t="shared" si="29"/>
        <v/>
      </c>
      <c r="AE21" s="32" t="str">
        <f t="shared" si="30"/>
        <v/>
      </c>
      <c r="AF21" s="32" t="str">
        <f t="shared" si="31"/>
        <v/>
      </c>
    </row>
    <row r="22" spans="1:32" x14ac:dyDescent="0.2">
      <c r="A22" s="4"/>
      <c r="B22" s="4" t="str">
        <f>IF(A60="","","Vy")</f>
        <v/>
      </c>
      <c r="C22" s="32" t="str">
        <f t="shared" si="2"/>
        <v/>
      </c>
      <c r="D22" s="32" t="str">
        <f t="shared" si="3"/>
        <v/>
      </c>
      <c r="E22" s="32" t="str">
        <f t="shared" si="4"/>
        <v/>
      </c>
      <c r="F22" s="32" t="str">
        <f t="shared" si="5"/>
        <v/>
      </c>
      <c r="G22" s="32" t="str">
        <f t="shared" si="6"/>
        <v/>
      </c>
      <c r="H22" s="32" t="str">
        <f t="shared" si="7"/>
        <v/>
      </c>
      <c r="I22" s="32" t="str">
        <f t="shared" si="8"/>
        <v/>
      </c>
      <c r="J22" s="32" t="str">
        <f t="shared" si="9"/>
        <v/>
      </c>
      <c r="K22" s="32" t="str">
        <f t="shared" si="10"/>
        <v/>
      </c>
      <c r="L22" s="32" t="str">
        <f t="shared" si="11"/>
        <v/>
      </c>
      <c r="M22" s="32" t="str">
        <f t="shared" si="12"/>
        <v/>
      </c>
      <c r="N22" s="32" t="str">
        <f t="shared" si="13"/>
        <v/>
      </c>
      <c r="O22" s="32" t="str">
        <f t="shared" si="14"/>
        <v/>
      </c>
      <c r="P22" s="32" t="str">
        <f t="shared" si="15"/>
        <v/>
      </c>
      <c r="Q22" s="32" t="str">
        <f t="shared" si="16"/>
        <v/>
      </c>
      <c r="R22" s="32" t="str">
        <f t="shared" si="17"/>
        <v/>
      </c>
      <c r="S22" s="32" t="str">
        <f t="shared" si="18"/>
        <v/>
      </c>
      <c r="T22" s="32" t="str">
        <f t="shared" si="19"/>
        <v/>
      </c>
      <c r="U22" s="32" t="str">
        <f t="shared" si="20"/>
        <v/>
      </c>
      <c r="V22" s="32" t="str">
        <f t="shared" si="21"/>
        <v/>
      </c>
      <c r="W22" s="32" t="str">
        <f t="shared" si="22"/>
        <v/>
      </c>
      <c r="X22" s="32" t="str">
        <f t="shared" si="23"/>
        <v/>
      </c>
      <c r="Y22" s="32" t="str">
        <f t="shared" si="24"/>
        <v/>
      </c>
      <c r="Z22" s="32" t="str">
        <f t="shared" si="25"/>
        <v/>
      </c>
      <c r="AA22" s="32" t="str">
        <f t="shared" si="26"/>
        <v/>
      </c>
      <c r="AB22" s="32" t="str">
        <f t="shared" si="27"/>
        <v/>
      </c>
      <c r="AC22" s="32" t="str">
        <f t="shared" si="28"/>
        <v/>
      </c>
      <c r="AD22" s="32" t="str">
        <f t="shared" si="29"/>
        <v/>
      </c>
      <c r="AE22" s="32" t="str">
        <f t="shared" si="30"/>
        <v/>
      </c>
      <c r="AF22" s="32" t="str">
        <f t="shared" si="31"/>
        <v/>
      </c>
    </row>
    <row r="23" spans="1:32" x14ac:dyDescent="0.2">
      <c r="A23" s="13"/>
      <c r="B23" s="13" t="str">
        <f>IF(A61="","","Rot")</f>
        <v/>
      </c>
      <c r="C23" s="33" t="str">
        <f t="shared" si="2"/>
        <v/>
      </c>
      <c r="D23" s="33" t="str">
        <f t="shared" si="3"/>
        <v/>
      </c>
      <c r="E23" s="33" t="str">
        <f t="shared" si="4"/>
        <v/>
      </c>
      <c r="F23" s="33" t="str">
        <f t="shared" si="5"/>
        <v/>
      </c>
      <c r="G23" s="33" t="str">
        <f t="shared" si="6"/>
        <v/>
      </c>
      <c r="H23" s="33" t="str">
        <f t="shared" si="7"/>
        <v/>
      </c>
      <c r="I23" s="33" t="str">
        <f t="shared" si="8"/>
        <v/>
      </c>
      <c r="J23" s="33" t="str">
        <f t="shared" si="9"/>
        <v/>
      </c>
      <c r="K23" s="33" t="str">
        <f t="shared" si="10"/>
        <v/>
      </c>
      <c r="L23" s="33" t="str">
        <f t="shared" si="11"/>
        <v/>
      </c>
      <c r="M23" s="33" t="str">
        <f t="shared" si="12"/>
        <v/>
      </c>
      <c r="N23" s="33" t="str">
        <f t="shared" si="13"/>
        <v/>
      </c>
      <c r="O23" s="33" t="str">
        <f t="shared" si="14"/>
        <v/>
      </c>
      <c r="P23" s="33" t="str">
        <f t="shared" si="15"/>
        <v/>
      </c>
      <c r="Q23" s="33" t="str">
        <f t="shared" si="16"/>
        <v/>
      </c>
      <c r="R23" s="33" t="str">
        <f t="shared" si="17"/>
        <v/>
      </c>
      <c r="S23" s="33" t="str">
        <f t="shared" si="18"/>
        <v/>
      </c>
      <c r="T23" s="33" t="str">
        <f t="shared" si="19"/>
        <v/>
      </c>
      <c r="U23" s="33" t="str">
        <f t="shared" si="20"/>
        <v/>
      </c>
      <c r="V23" s="33" t="str">
        <f t="shared" si="21"/>
        <v/>
      </c>
      <c r="W23" s="33" t="str">
        <f t="shared" si="22"/>
        <v/>
      </c>
      <c r="X23" s="33" t="str">
        <f t="shared" si="23"/>
        <v/>
      </c>
      <c r="Y23" s="33" t="str">
        <f t="shared" si="24"/>
        <v/>
      </c>
      <c r="Z23" s="33" t="str">
        <f t="shared" si="25"/>
        <v/>
      </c>
      <c r="AA23" s="33" t="str">
        <f t="shared" si="26"/>
        <v/>
      </c>
      <c r="AB23" s="33" t="str">
        <f t="shared" si="27"/>
        <v/>
      </c>
      <c r="AC23" s="33" t="str">
        <f t="shared" si="28"/>
        <v/>
      </c>
      <c r="AD23" s="33" t="str">
        <f t="shared" si="29"/>
        <v/>
      </c>
      <c r="AE23" s="33" t="str">
        <f t="shared" si="30"/>
        <v/>
      </c>
      <c r="AF23" s="33" t="str">
        <f t="shared" si="31"/>
        <v/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0.54700000000000004</v>
      </c>
      <c r="D36" s="2">
        <f>INDEX(SPI!$B$1:$I$931,$A44+(3*$B$1+2)*D$5+1,2)</f>
        <v>0.51800000000000002</v>
      </c>
      <c r="E36" s="2">
        <f>INDEX(SPI!$B$1:$I$931,$A44+(3*$B$1+2)*E$5+1,2)</f>
        <v>0.42099999999999999</v>
      </c>
      <c r="F36" s="2">
        <f>INDEX(SPI!$B$1:$I$931,$A44+(3*$B$1+2)*F$5+1,2)</f>
        <v>0.17499999999999999</v>
      </c>
      <c r="G36" s="2">
        <f>INDEX(SPI!$B$1:$I$931,$A44+(3*$B$1+2)*G$5+1,2)</f>
        <v>0.16900000000000001</v>
      </c>
      <c r="H36" s="2">
        <f>INDEX(SPI!$B$1:$I$931,$A44+(3*$B$1+2)*H$5+1,2)</f>
        <v>0.13500000000000001</v>
      </c>
      <c r="I36" s="2">
        <f>INDEX(SPI!$B$1:$I$931,$A44+(3*$B$1+2)*I$5+1,2)</f>
        <v>9.0999999999999998E-2</v>
      </c>
      <c r="J36" s="2">
        <f>INDEX(SPI!$B$1:$I$931,$A44+(3*$B$1+2)*J$5+1,2)</f>
        <v>8.8999999999999996E-2</v>
      </c>
      <c r="K36" s="2">
        <f>INDEX(SPI!$B$1:$I$931,$A44+(3*$B$1+2)*K$5+1,2)</f>
        <v>6.9000000000000006E-2</v>
      </c>
      <c r="L36" s="2">
        <f>INDEX(SPI!$B$1:$I$931,$A44+(3*$B$1+2)*L$5+1,2)</f>
        <v>0.06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0</v>
      </c>
      <c r="D37" s="2">
        <f>INDEX(SPI!$B$1:$I$931,$A44+(3*$B$1+2)*D5,7)</f>
        <v>85.554000000000002</v>
      </c>
      <c r="E37" s="2">
        <f>INDEX(SPI!$B$1:$I$931,$A44+(3*$B$1+2)*E5,7)</f>
        <v>8.0000000000000002E-3</v>
      </c>
      <c r="F37" s="2">
        <f>INDEX(SPI!$B$1:$I$931,$A44+(3*$B$1+2)*F5,7)</f>
        <v>0</v>
      </c>
      <c r="G37" s="2">
        <f>INDEX(SPI!$B$1:$I$931,$A44+(3*$B$1+2)*G5,7)</f>
        <v>10.301</v>
      </c>
      <c r="H37" s="2">
        <f>INDEX(SPI!$B$1:$I$931,$A44+(3*$B$1+2)*H5,7)</f>
        <v>0</v>
      </c>
      <c r="I37" s="2">
        <f>INDEX(SPI!$B$1:$I$931,$A44+(3*$B$1+2)*I5,7)</f>
        <v>0</v>
      </c>
      <c r="J37" s="2">
        <f>INDEX(SPI!$B$1:$I$931,$A44+(3*$B$1+2)*J5,7)</f>
        <v>3.2440000000000002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83.921999999999997</v>
      </c>
      <c r="D38" s="2">
        <f>INDEX(SPI!$B$1:$I$931,$A44+(3*$B$1+2)*D5,8)</f>
        <v>0</v>
      </c>
      <c r="E38" s="2">
        <f>INDEX(SPI!$B$1:$I$931,$A44+(3*$B$1+2)*E5,8)</f>
        <v>0.437</v>
      </c>
      <c r="F38" s="2">
        <f>INDEX(SPI!$B$1:$I$931,$A44+(3*$B$1+2)*F5,8)</f>
        <v>10.967000000000001</v>
      </c>
      <c r="G38" s="2">
        <f>INDEX(SPI!$B$1:$I$931,$A44+(3*$B$1+2)*G5,8)</f>
        <v>0</v>
      </c>
      <c r="H38" s="2">
        <f>INDEX(SPI!$B$1:$I$931,$A44+(3*$B$1+2)*H5,8)</f>
        <v>1E-3</v>
      </c>
      <c r="I38" s="2">
        <f>INDEX(SPI!$B$1:$I$931,$A44+(3*$B$1+2)*I5,8)</f>
        <v>3.52</v>
      </c>
      <c r="J38" s="2">
        <f>INDEX(SPI!$B$1:$I$931,$A44+(3*$B$1+2)*J5,8)</f>
        <v>0</v>
      </c>
      <c r="K38" s="2">
        <f>INDEX(SPI!$B$1:$I$931,$A44+(3*$B$1+2)*K5,8)</f>
        <v>0.01</v>
      </c>
      <c r="L38" s="2">
        <f>INDEX(SPI!$B$1:$I$931,$A44+(3*$B$1+2)*L5,8)</f>
        <v>0.84599999999999997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-6.7820000000000001E-4</v>
      </c>
      <c r="E44" s="14">
        <f>INDEX(SPI!$B$1:$I$931,$A44+(3*$B$1+2)*D$43+1,8)</f>
        <v>0.65546000000000004</v>
      </c>
      <c r="F44" s="14">
        <f>INDEX(SPI!$B$1:$I$931,$A44+(3*$B$1+2)*F$43+1,7)</f>
        <v>13.788</v>
      </c>
      <c r="G44" s="14">
        <f>INDEX(SPI!$B$1:$I$931,$A44+(3*$B$1+2)*F$43+1,8)</f>
        <v>2.2664E-2</v>
      </c>
      <c r="H44" s="14">
        <f>INDEX(SPI!$B$1:$I$931,$A44+(3*$B$1+2)*H$43+1,7)</f>
        <v>7.0314000000000002E-2</v>
      </c>
      <c r="I44" s="14">
        <f>INDEX(SPI!$B$1:$I$931,$A44+(3*$B$1+2)*H$43+1,8)</f>
        <v>-0.51439999999999997</v>
      </c>
      <c r="J44" s="14">
        <f>INDEX(SPI!$B$1:$I$931,$A44+(3*$B$1+2)*J$43+1,7)</f>
        <v>2.6737000000000002E-5</v>
      </c>
      <c r="K44" s="14">
        <f>INDEX(SPI!$B$1:$I$931,$A44+(3*$B$1+2)*J$43+1,8)</f>
        <v>4.2982999999999997E-3</v>
      </c>
      <c r="L44" s="14">
        <f>INDEX(SPI!$B$1:$I$931,$A44+(3*$B$1+2)*L$43+1,7)</f>
        <v>-0.52800000000000002</v>
      </c>
      <c r="M44" s="14">
        <f>INDEX(SPI!$B$1:$I$931,$A44+(3*$B$1+2)*L$43+1,8)</f>
        <v>3.2304E-3</v>
      </c>
      <c r="N44" s="14">
        <f>INDEX(SPI!$B$1:$I$931,$A44+(3*$B$1+2)*N$43+1,7)</f>
        <v>-9.1620000000000004E-4</v>
      </c>
      <c r="O44" s="14">
        <f>INDEX(SPI!$B$1:$I$931,$A44+(3*$B$1+2)*N$43+1,8)</f>
        <v>2.2125000000000001E-3</v>
      </c>
      <c r="P44" s="14">
        <f>INDEX(SPI!$B$1:$I$931,$A44+(3*$B$1+2)*P$43+1,7)</f>
        <v>-6.7959999999999998E-6</v>
      </c>
      <c r="Q44" s="14">
        <f>INDEX(SPI!$B$1:$I$931,$A44+(3*$B$1+2)*P$43+1,8)</f>
        <v>-4.1850000000000004E-3</v>
      </c>
      <c r="R44" s="14">
        <f>INDEX(SPI!$B$1:$I$931,$A44+(3*$B$1+2)*R$43+1,7)</f>
        <v>8.3354999999999999E-2</v>
      </c>
      <c r="S44" s="14">
        <f>INDEX(SPI!$B$1:$I$931,$A44+(3*$B$1+2)*R$43+1,8)</f>
        <v>-1.104E-4</v>
      </c>
      <c r="T44" s="14">
        <f>INDEX(SPI!$B$1:$I$931,$A44+(3*$B$1+2)*T$43+1,7)</f>
        <v>-1.2289999999999999E-5</v>
      </c>
      <c r="U44" s="14">
        <f>INDEX(SPI!$B$1:$I$931,$A44+(3*$B$1+2)*T$43+1,8)</f>
        <v>2.101E-3</v>
      </c>
      <c r="V44" s="14">
        <f>INDEX(SPI!$B$1:$I$931,$A44+(3*$B$1+2)*V$43+1,7)</f>
        <v>-1.621E-6</v>
      </c>
      <c r="W44" s="14">
        <f>INDEX(SPI!$B$1:$I$931,$A44+(3*$B$1+2)*V$43+1,8)</f>
        <v>9.1241E-4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-1.354E-2</v>
      </c>
      <c r="E45" s="14">
        <f>INDEX(SPI!$B$1:$I$931,$A45+(3*$B$1+2)*D$43+1,8)</f>
        <v>13.083</v>
      </c>
      <c r="F45" s="14">
        <f>INDEX(SPI!$B$1:$I$931,$A45+(3*$B$1+2)*F$43+1,7)</f>
        <v>0.18851999999999999</v>
      </c>
      <c r="G45" s="14">
        <f>INDEX(SPI!$B$1:$I$931,$A45+(3*$B$1+2)*F$43+1,8)</f>
        <v>3.0987000000000001E-4</v>
      </c>
      <c r="H45" s="14">
        <f>INDEX(SPI!$B$1:$I$931,$A45+(3*$B$1+2)*H$43+1,7)</f>
        <v>-0.1774</v>
      </c>
      <c r="I45" s="14">
        <f>INDEX(SPI!$B$1:$I$931,$A45+(3*$B$1+2)*H$43+1,8)</f>
        <v>1.2975000000000001</v>
      </c>
      <c r="J45" s="14">
        <f>INDEX(SPI!$B$1:$I$931,$A45+(3*$B$1+2)*J$43+1,7)</f>
        <v>-3.8530000000000001E-3</v>
      </c>
      <c r="K45" s="14">
        <f>INDEX(SPI!$B$1:$I$931,$A45+(3*$B$1+2)*J$43+1,8)</f>
        <v>-0.61939999999999995</v>
      </c>
      <c r="L45" s="14">
        <f>INDEX(SPI!$B$1:$I$931,$A45+(3*$B$1+2)*L$43+1,7)</f>
        <v>1.9207999999999999E-2</v>
      </c>
      <c r="M45" s="14">
        <f>INDEX(SPI!$B$1:$I$931,$A45+(3*$B$1+2)*L$43+1,8)</f>
        <v>-1.175E-4</v>
      </c>
      <c r="N45" s="14">
        <f>INDEX(SPI!$B$1:$I$931,$A45+(3*$B$1+2)*N$43+1,7)</f>
        <v>2.2672E-3</v>
      </c>
      <c r="O45" s="14">
        <f>INDEX(SPI!$B$1:$I$931,$A45+(3*$B$1+2)*N$43+1,8)</f>
        <v>-5.4749999999999998E-3</v>
      </c>
      <c r="P45" s="14">
        <f>INDEX(SPI!$B$1:$I$931,$A45+(3*$B$1+2)*P$43+1,7)</f>
        <v>1.7564999999999999E-4</v>
      </c>
      <c r="Q45" s="14">
        <f>INDEX(SPI!$B$1:$I$931,$A45+(3*$B$1+2)*P$43+1,8)</f>
        <v>0.10816000000000001</v>
      </c>
      <c r="R45" s="14">
        <f>INDEX(SPI!$B$1:$I$931,$A45+(3*$B$1+2)*R$43+1,7)</f>
        <v>-6.8760000000000002E-3</v>
      </c>
      <c r="S45" s="14">
        <f>INDEX(SPI!$B$1:$I$931,$A45+(3*$B$1+2)*R$43+1,8)</f>
        <v>9.1100999999999994E-6</v>
      </c>
      <c r="T45" s="14">
        <f>INDEX(SPI!$B$1:$I$931,$A45+(3*$B$1+2)*T$43+1,7)</f>
        <v>3.1823999999999999E-5</v>
      </c>
      <c r="U45" s="14">
        <f>INDEX(SPI!$B$1:$I$931,$A45+(3*$B$1+2)*T$43+1,8)</f>
        <v>-5.4400000000000004E-3</v>
      </c>
      <c r="V45" s="14">
        <f>INDEX(SPI!$B$1:$I$931,$A45+(3*$B$1+2)*V$43+1,7)</f>
        <v>4.8979E-5</v>
      </c>
      <c r="W45" s="14">
        <f>INDEX(SPI!$B$1:$I$931,$A45+(3*$B$1+2)*V$43+1,8)</f>
        <v>-2.7570000000000001E-2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-1.203E-4</v>
      </c>
      <c r="E46" s="15">
        <f>INDEX(SPI!$B$1:$I$931,$A46+(3*$B$1+2)*D$43+1,8)</f>
        <v>0.11625000000000001</v>
      </c>
      <c r="F46" s="15">
        <f>INDEX(SPI!$B$1:$I$931,$A46+(3*$B$1+2)*F$43+1,7)</f>
        <v>-1.153E-2</v>
      </c>
      <c r="G46" s="15">
        <f>INDEX(SPI!$B$1:$I$931,$A46+(3*$B$1+2)*F$43+1,8)</f>
        <v>-1.8960000000000001E-5</v>
      </c>
      <c r="H46" s="15">
        <f>INDEX(SPI!$B$1:$I$931,$A46+(3*$B$1+2)*H$43+1,7)</f>
        <v>1.2057999999999999E-2</v>
      </c>
      <c r="I46" s="15">
        <f>INDEX(SPI!$B$1:$I$931,$A46+(3*$B$1+2)*H$43+1,8)</f>
        <v>-8.8209999999999997E-2</v>
      </c>
      <c r="J46" s="15">
        <f>INDEX(SPI!$B$1:$I$931,$A46+(3*$B$1+2)*J$43+1,7)</f>
        <v>8.2644E-6</v>
      </c>
      <c r="K46" s="15">
        <f>INDEX(SPI!$B$1:$I$931,$A46+(3*$B$1+2)*J$43+1,8)</f>
        <v>1.3286000000000001E-3</v>
      </c>
      <c r="L46" s="15">
        <f>INDEX(SPI!$B$1:$I$931,$A46+(3*$B$1+2)*L$43+1,7)</f>
        <v>-1.1249999999999999E-3</v>
      </c>
      <c r="M46" s="15">
        <f>INDEX(SPI!$B$1:$I$931,$A46+(3*$B$1+2)*L$43+1,8)</f>
        <v>6.8851000000000004E-6</v>
      </c>
      <c r="N46" s="15">
        <f>INDEX(SPI!$B$1:$I$931,$A46+(3*$B$1+2)*N$43+1,7)</f>
        <v>-1.5469999999999999E-4</v>
      </c>
      <c r="O46" s="15">
        <f>INDEX(SPI!$B$1:$I$931,$A46+(3*$B$1+2)*N$43+1,8)</f>
        <v>3.7353000000000001E-4</v>
      </c>
      <c r="P46" s="15">
        <f>INDEX(SPI!$B$1:$I$931,$A46+(3*$B$1+2)*P$43+1,7)</f>
        <v>-1.1429999999999999E-6</v>
      </c>
      <c r="Q46" s="15">
        <f>INDEX(SPI!$B$1:$I$931,$A46+(3*$B$1+2)*P$43+1,8)</f>
        <v>-7.0410000000000004E-4</v>
      </c>
      <c r="R46" s="15">
        <f>INDEX(SPI!$B$1:$I$931,$A46+(3*$B$1+2)*R$43+1,7)</f>
        <v>4.6769999999999998E-4</v>
      </c>
      <c r="S46" s="15">
        <f>INDEX(SPI!$B$1:$I$931,$A46+(3*$B$1+2)*R$43+1,8)</f>
        <v>-6.1959999999999996E-7</v>
      </c>
      <c r="T46" s="15">
        <f>INDEX(SPI!$B$1:$I$931,$A46+(3*$B$1+2)*T$43+1,7)</f>
        <v>-2.0899999999999999E-6</v>
      </c>
      <c r="U46" s="15">
        <f>INDEX(SPI!$B$1:$I$931,$A46+(3*$B$1+2)*T$43+1,8)</f>
        <v>3.5720000000000001E-4</v>
      </c>
      <c r="V46" s="15">
        <f>INDEX(SPI!$B$1:$I$931,$A46+(3*$B$1+2)*V$43+1,7)</f>
        <v>-2.4079999999999999E-7</v>
      </c>
      <c r="W46" s="15">
        <f>INDEX(SPI!$B$1:$I$931,$A46+(3*$B$1+2)*V$43+1,8)</f>
        <v>1.3553999999999999E-4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-6.5050000000000004E-4</v>
      </c>
      <c r="E47" s="14">
        <f>IF($A47="","",INDEX(SPI!$B$1:$I$931,$A47+(3*$B$1+2)*D$43+1,8))</f>
        <v>0.62865000000000004</v>
      </c>
      <c r="F47" s="14">
        <f>IF($A47="","",INDEX(SPI!$B$1:$I$931,$A47+(3*$B$1+2)*F$43+1,7))</f>
        <v>12.964</v>
      </c>
      <c r="G47" s="14">
        <f>IF($A47="","",INDEX(SPI!$B$1:$I$931,$A47+(3*$B$1+2)*F$43+1,8))</f>
        <v>2.1309000000000002E-2</v>
      </c>
      <c r="H47" s="14">
        <f>IF($A47="","",INDEX(SPI!$B$1:$I$931,$A47+(3*$B$1+2)*H$43+1,7))</f>
        <v>6.5157999999999994E-2</v>
      </c>
      <c r="I47" s="14">
        <f>IF($A47="","",INDEX(SPI!$B$1:$I$931,$A47+(3*$B$1+2)*H$43+1,8))</f>
        <v>-0.47670000000000001</v>
      </c>
      <c r="J47" s="14">
        <f>IF($A47="","",INDEX(SPI!$B$1:$I$931,$A47+(3*$B$1+2)*J$43+1,7))</f>
        <v>-1.15E-5</v>
      </c>
      <c r="K47" s="14">
        <f>IF($A47="","",INDEX(SPI!$B$1:$I$931,$A47+(3*$B$1+2)*J$43+1,8))</f>
        <v>-1.848E-3</v>
      </c>
      <c r="L47" s="14">
        <f>IF($A47="","",INDEX(SPI!$B$1:$I$931,$A47+(3*$B$1+2)*L$43+1,7))</f>
        <v>-0.29959999999999998</v>
      </c>
      <c r="M47" s="14">
        <f>IF($A47="","",INDEX(SPI!$B$1:$I$931,$A47+(3*$B$1+2)*L$43+1,8))</f>
        <v>1.8328000000000001E-3</v>
      </c>
      <c r="N47" s="14">
        <f>IF($A47="","",INDEX(SPI!$B$1:$I$931,$A47+(3*$B$1+2)*N$43+1,7))</f>
        <v>-4.5639999999999998E-4</v>
      </c>
      <c r="O47" s="14">
        <f>IF($A47="","",INDEX(SPI!$B$1:$I$931,$A47+(3*$B$1+2)*N$43+1,8))</f>
        <v>1.1022E-3</v>
      </c>
      <c r="P47" s="14">
        <f>IF($A47="","",INDEX(SPI!$B$1:$I$931,$A47+(3*$B$1+2)*P$43+1,7))</f>
        <v>3.2770999999999999E-6</v>
      </c>
      <c r="Q47" s="14">
        <f>IF($A47="","",INDEX(SPI!$B$1:$I$931,$A47+(3*$B$1+2)*P$43+1,8))</f>
        <v>2.0179E-3</v>
      </c>
      <c r="R47" s="14">
        <f>IF($A47="","",INDEX(SPI!$B$1:$I$931,$A47+(3*$B$1+2)*R$43+1,7))</f>
        <v>-5.1209999999999997E-3</v>
      </c>
      <c r="S47" s="14">
        <f>IF($A47="","",INDEX(SPI!$B$1:$I$931,$A47+(3*$B$1+2)*R$43+1,8))</f>
        <v>6.7839000000000004E-6</v>
      </c>
      <c r="T47" s="14">
        <f>IF($A47="","",INDEX(SPI!$B$1:$I$931,$A47+(3*$B$1+2)*T$43+1,7))</f>
        <v>2.3997999999999999E-6</v>
      </c>
      <c r="U47" s="14">
        <f>IF($A47="","",INDEX(SPI!$B$1:$I$931,$A47+(3*$B$1+2)*T$43+1,8))</f>
        <v>-4.102E-4</v>
      </c>
      <c r="V47" s="14">
        <f>IF($A47="","",INDEX(SPI!$B$1:$I$931,$A47+(3*$B$1+2)*V$43+1,7))</f>
        <v>2.6178000000000002E-6</v>
      </c>
      <c r="W47" s="14">
        <f>IF($A47="","",INDEX(SPI!$B$1:$I$931,$A47+(3*$B$1+2)*V$43+1,8))</f>
        <v>-1.474E-3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-1.2489999999999999E-2</v>
      </c>
      <c r="E48" s="14">
        <f>IF($A48="","",INDEX(SPI!$B$1:$I$931,$A48+(3*$B$1+2)*D$43+1,8))</f>
        <v>12.071</v>
      </c>
      <c r="F48" s="14">
        <f>IF($A48="","",INDEX(SPI!$B$1:$I$931,$A48+(3*$B$1+2)*F$43+1,7))</f>
        <v>0.13558999999999999</v>
      </c>
      <c r="G48" s="14">
        <f>IF($A48="","",INDEX(SPI!$B$1:$I$931,$A48+(3*$B$1+2)*F$43+1,8))</f>
        <v>2.2287000000000001E-4</v>
      </c>
      <c r="H48" s="14">
        <f>IF($A48="","",INDEX(SPI!$B$1:$I$931,$A48+(3*$B$1+2)*H$43+1,7))</f>
        <v>-0.1633</v>
      </c>
      <c r="I48" s="14">
        <f>IF($A48="","",INDEX(SPI!$B$1:$I$931,$A48+(3*$B$1+2)*H$43+1,8))</f>
        <v>1.1943999999999999</v>
      </c>
      <c r="J48" s="14">
        <f>IF($A48="","",INDEX(SPI!$B$1:$I$931,$A48+(3*$B$1+2)*J$43+1,7))</f>
        <v>-1.8159999999999999E-3</v>
      </c>
      <c r="K48" s="14">
        <f>IF($A48="","",INDEX(SPI!$B$1:$I$931,$A48+(3*$B$1+2)*J$43+1,8))</f>
        <v>-0.29189999999999999</v>
      </c>
      <c r="L48" s="14">
        <f>IF($A48="","",INDEX(SPI!$B$1:$I$931,$A48+(3*$B$1+2)*L$43+1,7))</f>
        <v>2.0397999999999999E-2</v>
      </c>
      <c r="M48" s="14">
        <f>IF($A48="","",INDEX(SPI!$B$1:$I$931,$A48+(3*$B$1+2)*L$43+1,8))</f>
        <v>-1.248E-4</v>
      </c>
      <c r="N48" s="14">
        <f>IF($A48="","",INDEX(SPI!$B$1:$I$931,$A48+(3*$B$1+2)*N$43+1,7))</f>
        <v>1.0361999999999999E-3</v>
      </c>
      <c r="O48" s="14">
        <f>IF($A48="","",INDEX(SPI!$B$1:$I$931,$A48+(3*$B$1+2)*N$43+1,8))</f>
        <v>-2.5019999999999999E-3</v>
      </c>
      <c r="P48" s="14">
        <f>IF($A48="","",INDEX(SPI!$B$1:$I$931,$A48+(3*$B$1+2)*P$43+1,7))</f>
        <v>-4.6969999999999999E-5</v>
      </c>
      <c r="Q48" s="14">
        <f>IF($A48="","",INDEX(SPI!$B$1:$I$931,$A48+(3*$B$1+2)*P$43+1,8))</f>
        <v>-2.8920000000000001E-2</v>
      </c>
      <c r="R48" s="14">
        <f>IF($A48="","",INDEX(SPI!$B$1:$I$931,$A48+(3*$B$1+2)*R$43+1,7))</f>
        <v>-4.0130000000000001E-3</v>
      </c>
      <c r="S48" s="14">
        <f>IF($A48="","",INDEX(SPI!$B$1:$I$931,$A48+(3*$B$1+2)*R$43+1,8))</f>
        <v>5.3171000000000003E-6</v>
      </c>
      <c r="T48" s="14">
        <f>IF($A48="","",INDEX(SPI!$B$1:$I$931,$A48+(3*$B$1+2)*T$43+1,7))</f>
        <v>-1.0000000000000001E-5</v>
      </c>
      <c r="U48" s="14">
        <f>IF($A48="","",INDEX(SPI!$B$1:$I$931,$A48+(3*$B$1+2)*T$43+1,8))</f>
        <v>1.7101E-3</v>
      </c>
      <c r="V48" s="14">
        <f>IF($A48="","",INDEX(SPI!$B$1:$I$931,$A48+(3*$B$1+2)*V$43+1,7))</f>
        <v>-5.024E-5</v>
      </c>
      <c r="W48" s="14">
        <f>IF($A48="","",INDEX(SPI!$B$1:$I$931,$A48+(3*$B$1+2)*V$43+1,8))</f>
        <v>2.8281000000000001E-2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-1.149E-4</v>
      </c>
      <c r="E49" s="15">
        <f>IF($A49="","",INDEX(SPI!$B$1:$I$931,$A49+(3*$B$1+2)*D$43+1,8))</f>
        <v>0.11106000000000001</v>
      </c>
      <c r="F49" s="15">
        <f>IF($A49="","",INDEX(SPI!$B$1:$I$931,$A49+(3*$B$1+2)*F$43+1,7))</f>
        <v>-8.1259999999999995E-3</v>
      </c>
      <c r="G49" s="15">
        <f>IF($A49="","",INDEX(SPI!$B$1:$I$931,$A49+(3*$B$1+2)*F$43+1,8))</f>
        <v>-1.3360000000000001E-5</v>
      </c>
      <c r="H49" s="15">
        <f>IF($A49="","",INDEX(SPI!$B$1:$I$931,$A49+(3*$B$1+2)*H$43+1,7))</f>
        <v>1.1122E-2</v>
      </c>
      <c r="I49" s="15">
        <f>IF($A49="","",INDEX(SPI!$B$1:$I$931,$A49+(3*$B$1+2)*H$43+1,8))</f>
        <v>-8.1360000000000002E-2</v>
      </c>
      <c r="J49" s="15">
        <f>IF($A49="","",INDEX(SPI!$B$1:$I$931,$A49+(3*$B$1+2)*J$43+1,7))</f>
        <v>5.6267999999999998E-8</v>
      </c>
      <c r="K49" s="15">
        <f>IF($A49="","",INDEX(SPI!$B$1:$I$931,$A49+(3*$B$1+2)*J$43+1,8))</f>
        <v>9.0457000000000005E-6</v>
      </c>
      <c r="L49" s="15">
        <f>IF($A49="","",INDEX(SPI!$B$1:$I$931,$A49+(3*$B$1+2)*L$43+1,7))</f>
        <v>-1.31E-3</v>
      </c>
      <c r="M49" s="15">
        <f>IF($A49="","",INDEX(SPI!$B$1:$I$931,$A49+(3*$B$1+2)*L$43+1,8))</f>
        <v>8.0172000000000001E-6</v>
      </c>
      <c r="N49" s="15">
        <f>IF($A49="","",INDEX(SPI!$B$1:$I$931,$A49+(3*$B$1+2)*N$43+1,7))</f>
        <v>-7.3269999999999995E-5</v>
      </c>
      <c r="O49" s="15">
        <f>IF($A49="","",INDEX(SPI!$B$1:$I$931,$A49+(3*$B$1+2)*N$43+1,8))</f>
        <v>1.7694999999999999E-4</v>
      </c>
      <c r="P49" s="15">
        <f>IF($A49="","",INDEX(SPI!$B$1:$I$931,$A49+(3*$B$1+2)*P$43+1,7))</f>
        <v>6.1816999999999998E-7</v>
      </c>
      <c r="Q49" s="15">
        <f>IF($A49="","",INDEX(SPI!$B$1:$I$931,$A49+(3*$B$1+2)*P$43+1,8))</f>
        <v>3.8064000000000001E-4</v>
      </c>
      <c r="R49" s="15">
        <f>IF($A49="","",INDEX(SPI!$B$1:$I$931,$A49+(3*$B$1+2)*R$43+1,7))</f>
        <v>2.8563999999999998E-4</v>
      </c>
      <c r="S49" s="15">
        <f>IF($A49="","",INDEX(SPI!$B$1:$I$931,$A49+(3*$B$1+2)*R$43+1,8))</f>
        <v>-3.784E-7</v>
      </c>
      <c r="T49" s="15">
        <f>IF($A49="","",INDEX(SPI!$B$1:$I$931,$A49+(3*$B$1+2)*T$43+1,7))</f>
        <v>5.4911999999999998E-7</v>
      </c>
      <c r="U49" s="15">
        <f>IF($A49="","",INDEX(SPI!$B$1:$I$931,$A49+(3*$B$1+2)*T$43+1,8))</f>
        <v>-9.3869999999999994E-5</v>
      </c>
      <c r="V49" s="15">
        <f>IF($A49="","",INDEX(SPI!$B$1:$I$931,$A49+(3*$B$1+2)*V$43+1,7))</f>
        <v>4.4789999999999998E-7</v>
      </c>
      <c r="W49" s="15">
        <f>IF($A49="","",INDEX(SPI!$B$1:$I$931,$A49+(3*$B$1+2)*V$43+1,8))</f>
        <v>-2.521E-4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-4.9439999999999998E-4</v>
      </c>
      <c r="E50" s="14">
        <f>IF($A50="","",INDEX(SPI!$B$1:$I$931,$A50+(3*$B$1+2)*D$43+1,8))</f>
        <v>0.47782999999999998</v>
      </c>
      <c r="F50" s="14">
        <f>IF($A50="","",INDEX(SPI!$B$1:$I$931,$A50+(3*$B$1+2)*F$43+1,7))</f>
        <v>10.352</v>
      </c>
      <c r="G50" s="14">
        <f>IF($A50="","",INDEX(SPI!$B$1:$I$931,$A50+(3*$B$1+2)*F$43+1,8))</f>
        <v>1.7016E-2</v>
      </c>
      <c r="H50" s="14">
        <f>IF($A50="","",INDEX(SPI!$B$1:$I$931,$A50+(3*$B$1+2)*H$43+1,7))</f>
        <v>5.1124999999999997E-2</v>
      </c>
      <c r="I50" s="14">
        <f>IF($A50="","",INDEX(SPI!$B$1:$I$931,$A50+(3*$B$1+2)*H$43+1,8))</f>
        <v>-0.374</v>
      </c>
      <c r="J50" s="14">
        <f>IF($A50="","",INDEX(SPI!$B$1:$I$931,$A50+(3*$B$1+2)*J$43+1,7))</f>
        <v>5.9599999999999999E-5</v>
      </c>
      <c r="K50" s="14">
        <f>IF($A50="","",INDEX(SPI!$B$1:$I$931,$A50+(3*$B$1+2)*J$43+1,8))</f>
        <v>9.5812999999999992E-3</v>
      </c>
      <c r="L50" s="14">
        <f>IF($A50="","",INDEX(SPI!$B$1:$I$931,$A50+(3*$B$1+2)*L$43+1,7))</f>
        <v>0.27322000000000002</v>
      </c>
      <c r="M50" s="14">
        <f>IF($A50="","",INDEX(SPI!$B$1:$I$931,$A50+(3*$B$1+2)*L$43+1,8))</f>
        <v>-1.6720000000000001E-3</v>
      </c>
      <c r="N50" s="14">
        <f>IF($A50="","",INDEX(SPI!$B$1:$I$931,$A50+(3*$B$1+2)*N$43+1,7))</f>
        <v>5.1192000000000002E-4</v>
      </c>
      <c r="O50" s="14">
        <f>IF($A50="","",INDEX(SPI!$B$1:$I$931,$A50+(3*$B$1+2)*N$43+1,8))</f>
        <v>-1.2359999999999999E-3</v>
      </c>
      <c r="P50" s="14">
        <f>IF($A50="","",INDEX(SPI!$B$1:$I$931,$A50+(3*$B$1+2)*P$43+1,7))</f>
        <v>4.4167000000000001E-7</v>
      </c>
      <c r="Q50" s="14">
        <f>IF($A50="","",INDEX(SPI!$B$1:$I$931,$A50+(3*$B$1+2)*P$43+1,8))</f>
        <v>2.7196000000000002E-4</v>
      </c>
      <c r="R50" s="14">
        <f>IF($A50="","",INDEX(SPI!$B$1:$I$931,$A50+(3*$B$1+2)*R$43+1,7))</f>
        <v>-0.1143</v>
      </c>
      <c r="S50" s="14">
        <f>IF($A50="","",INDEX(SPI!$B$1:$I$931,$A50+(3*$B$1+2)*R$43+1,8))</f>
        <v>1.5140999999999999E-4</v>
      </c>
      <c r="T50" s="14">
        <f>IF($A50="","",INDEX(SPI!$B$1:$I$931,$A50+(3*$B$1+2)*T$43+1,7))</f>
        <v>1.5366000000000002E-5</v>
      </c>
      <c r="U50" s="14">
        <f>IF($A50="","",INDEX(SPI!$B$1:$I$931,$A50+(3*$B$1+2)*T$43+1,8))</f>
        <v>-2.627E-3</v>
      </c>
      <c r="V50" s="14">
        <f>IF($A50="","",INDEX(SPI!$B$1:$I$931,$A50+(3*$B$1+2)*V$43+1,7))</f>
        <v>-4.0230000000000003E-6</v>
      </c>
      <c r="W50" s="14">
        <f>IF($A50="","",INDEX(SPI!$B$1:$I$931,$A50+(3*$B$1+2)*V$43+1,8))</f>
        <v>2.2648E-3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-9.8910000000000005E-3</v>
      </c>
      <c r="E51" s="14">
        <f>IF($A51="","",INDEX(SPI!$B$1:$I$931,$A51+(3*$B$1+2)*D$43+1,8))</f>
        <v>9.5589999999999993</v>
      </c>
      <c r="F51" s="14">
        <f>IF($A51="","",INDEX(SPI!$B$1:$I$931,$A51+(3*$B$1+2)*F$43+1,7))</f>
        <v>5.7918999999999998E-2</v>
      </c>
      <c r="G51" s="14">
        <f>IF($A51="","",INDEX(SPI!$B$1:$I$931,$A51+(3*$B$1+2)*F$43+1,8))</f>
        <v>9.5202000000000001E-5</v>
      </c>
      <c r="H51" s="14">
        <f>IF($A51="","",INDEX(SPI!$B$1:$I$931,$A51+(3*$B$1+2)*H$43+1,7))</f>
        <v>-0.12740000000000001</v>
      </c>
      <c r="I51" s="14">
        <f>IF($A51="","",INDEX(SPI!$B$1:$I$931,$A51+(3*$B$1+2)*H$43+1,8))</f>
        <v>0.93205000000000005</v>
      </c>
      <c r="J51" s="14">
        <f>IF($A51="","",INDEX(SPI!$B$1:$I$931,$A51+(3*$B$1+2)*J$43+1,7))</f>
        <v>1.9428E-3</v>
      </c>
      <c r="K51" s="14">
        <f>IF($A51="","",INDEX(SPI!$B$1:$I$931,$A51+(3*$B$1+2)*J$43+1,8))</f>
        <v>0.31231999999999999</v>
      </c>
      <c r="L51" s="14">
        <f>IF($A51="","",INDEX(SPI!$B$1:$I$931,$A51+(3*$B$1+2)*L$43+1,7))</f>
        <v>1.5509999999999999E-2</v>
      </c>
      <c r="M51" s="14">
        <f>IF($A51="","",INDEX(SPI!$B$1:$I$931,$A51+(3*$B$1+2)*L$43+1,8))</f>
        <v>-9.4889999999999994E-5</v>
      </c>
      <c r="N51" s="14">
        <f>IF($A51="","",INDEX(SPI!$B$1:$I$931,$A51+(3*$B$1+2)*N$43+1,7))</f>
        <v>-1.323E-3</v>
      </c>
      <c r="O51" s="14">
        <f>IF($A51="","",INDEX(SPI!$B$1:$I$931,$A51+(3*$B$1+2)*N$43+1,8))</f>
        <v>3.1939999999999998E-3</v>
      </c>
      <c r="P51" s="14">
        <f>IF($A51="","",INDEX(SPI!$B$1:$I$931,$A51+(3*$B$1+2)*P$43+1,7))</f>
        <v>-1.9149999999999999E-4</v>
      </c>
      <c r="Q51" s="14">
        <f>IF($A51="","",INDEX(SPI!$B$1:$I$931,$A51+(3*$B$1+2)*P$43+1,8))</f>
        <v>-0.1179</v>
      </c>
      <c r="R51" s="14">
        <f>IF($A51="","",INDEX(SPI!$B$1:$I$931,$A51+(3*$B$1+2)*R$43+1,7))</f>
        <v>1.3152999999999999E-3</v>
      </c>
      <c r="S51" s="14">
        <f>IF($A51="","",INDEX(SPI!$B$1:$I$931,$A51+(3*$B$1+2)*R$43+1,8))</f>
        <v>-1.7430000000000001E-6</v>
      </c>
      <c r="T51" s="14">
        <f>IF($A51="","",INDEX(SPI!$B$1:$I$931,$A51+(3*$B$1+2)*T$43+1,7))</f>
        <v>-3.6650000000000003E-5</v>
      </c>
      <c r="U51" s="14">
        <f>IF($A51="","",INDEX(SPI!$B$1:$I$931,$A51+(3*$B$1+2)*T$43+1,8))</f>
        <v>6.2649999999999997E-3</v>
      </c>
      <c r="V51" s="14">
        <f>IF($A51="","",INDEX(SPI!$B$1:$I$931,$A51+(3*$B$1+2)*V$43+1,7))</f>
        <v>1.1854E-5</v>
      </c>
      <c r="W51" s="14">
        <f>IF($A51="","",INDEX(SPI!$B$1:$I$931,$A51+(3*$B$1+2)*V$43+1,8))</f>
        <v>-6.6730000000000001E-3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-8.687E-5</v>
      </c>
      <c r="E52" s="15">
        <f>IF($A52="","",INDEX(SPI!$B$1:$I$931,$A52+(3*$B$1+2)*D$43+1,8))</f>
        <v>8.3955000000000002E-2</v>
      </c>
      <c r="F52" s="15">
        <f>IF($A52="","",INDEX(SPI!$B$1:$I$931,$A52+(3*$B$1+2)*F$43+1,7))</f>
        <v>-2.8999999999999998E-3</v>
      </c>
      <c r="G52" s="15">
        <f>IF($A52="","",INDEX(SPI!$B$1:$I$931,$A52+(3*$B$1+2)*F$43+1,8))</f>
        <v>-4.7670000000000003E-6</v>
      </c>
      <c r="H52" s="15">
        <f>IF($A52="","",INDEX(SPI!$B$1:$I$931,$A52+(3*$B$1+2)*H$43+1,7))</f>
        <v>8.6467000000000002E-3</v>
      </c>
      <c r="I52" s="15">
        <f>IF($A52="","",INDEX(SPI!$B$1:$I$931,$A52+(3*$B$1+2)*H$43+1,8))</f>
        <v>-6.3259999999999997E-2</v>
      </c>
      <c r="J52" s="15">
        <f>IF($A52="","",INDEX(SPI!$B$1:$I$931,$A52+(3*$B$1+2)*J$43+1,7))</f>
        <v>8.2812999999999998E-6</v>
      </c>
      <c r="K52" s="15">
        <f>IF($A52="","",INDEX(SPI!$B$1:$I$931,$A52+(3*$B$1+2)*J$43+1,8))</f>
        <v>1.3313000000000001E-3</v>
      </c>
      <c r="L52" s="15">
        <f>IF($A52="","",INDEX(SPI!$B$1:$I$931,$A52+(3*$B$1+2)*L$43+1,7))</f>
        <v>-1.225E-3</v>
      </c>
      <c r="M52" s="15">
        <f>IF($A52="","",INDEX(SPI!$B$1:$I$931,$A52+(3*$B$1+2)*L$43+1,8))</f>
        <v>7.4950999999999996E-6</v>
      </c>
      <c r="N52" s="15">
        <f>IF($A52="","",INDEX(SPI!$B$1:$I$931,$A52+(3*$B$1+2)*N$43+1,7))</f>
        <v>9.3137E-5</v>
      </c>
      <c r="O52" s="15">
        <f>IF($A52="","",INDEX(SPI!$B$1:$I$931,$A52+(3*$B$1+2)*N$43+1,8))</f>
        <v>-2.2489999999999999E-4</v>
      </c>
      <c r="P52" s="15">
        <f>IF($A52="","",INDEX(SPI!$B$1:$I$931,$A52+(3*$B$1+2)*P$43+1,7))</f>
        <v>1.1529999999999999E-7</v>
      </c>
      <c r="Q52" s="15">
        <f>IF($A52="","",INDEX(SPI!$B$1:$I$931,$A52+(3*$B$1+2)*P$43+1,8))</f>
        <v>7.0998E-5</v>
      </c>
      <c r="R52" s="15">
        <f>IF($A52="","",INDEX(SPI!$B$1:$I$931,$A52+(3*$B$1+2)*R$43+1,7))</f>
        <v>-8.2330000000000006E-5</v>
      </c>
      <c r="S52" s="15">
        <f>IF($A52="","",INDEX(SPI!$B$1:$I$931,$A52+(3*$B$1+2)*R$43+1,8))</f>
        <v>1.0907999999999999E-7</v>
      </c>
      <c r="T52" s="15">
        <f>IF($A52="","",INDEX(SPI!$B$1:$I$931,$A52+(3*$B$1+2)*T$43+1,7))</f>
        <v>2.7010000000000001E-6</v>
      </c>
      <c r="U52" s="15">
        <f>IF($A52="","",INDEX(SPI!$B$1:$I$931,$A52+(3*$B$1+2)*T$43+1,8))</f>
        <v>-4.617E-4</v>
      </c>
      <c r="V52" s="15">
        <f>IF($A52="","",INDEX(SPI!$B$1:$I$931,$A52+(3*$B$1+2)*V$43+1,7))</f>
        <v>-7.2180000000000002E-7</v>
      </c>
      <c r="W52" s="15">
        <f>IF($A52="","",INDEX(SPI!$B$1:$I$931,$A52+(3*$B$1+2)*V$43+1,8))</f>
        <v>4.0630000000000001E-4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-3.1339999999999997E-4</v>
      </c>
      <c r="E53" s="14">
        <f>IF($A53="","",INDEX(SPI!$B$1:$I$931,$A53+(3*$B$1+2)*D$43+1,8))</f>
        <v>0.30292999999999998</v>
      </c>
      <c r="F53" s="14">
        <f>IF($A53="","",INDEX(SPI!$B$1:$I$931,$A53+(3*$B$1+2)*F$43+1,7))</f>
        <v>7.2012999999999998</v>
      </c>
      <c r="G53" s="14">
        <f>IF($A53="","",INDEX(SPI!$B$1:$I$931,$A53+(3*$B$1+2)*F$43+1,8))</f>
        <v>1.1837E-2</v>
      </c>
      <c r="H53" s="14">
        <f>IF($A53="","",INDEX(SPI!$B$1:$I$931,$A53+(3*$B$1+2)*H$43+1,7))</f>
        <v>3.4606999999999999E-2</v>
      </c>
      <c r="I53" s="14">
        <f>IF($A53="","",INDEX(SPI!$B$1:$I$931,$A53+(3*$B$1+2)*H$43+1,8))</f>
        <v>-0.25319999999999998</v>
      </c>
      <c r="J53" s="14">
        <f>IF($A53="","",INDEX(SPI!$B$1:$I$931,$A53+(3*$B$1+2)*J$43+1,7))</f>
        <v>9.3875999999999994E-5</v>
      </c>
      <c r="K53" s="14">
        <f>IF($A53="","",INDEX(SPI!$B$1:$I$931,$A53+(3*$B$1+2)*J$43+1,8))</f>
        <v>1.5092E-2</v>
      </c>
      <c r="L53" s="14">
        <f>IF($A53="","",INDEX(SPI!$B$1:$I$931,$A53+(3*$B$1+2)*L$43+1,7))</f>
        <v>0.53039999999999998</v>
      </c>
      <c r="M53" s="14">
        <f>IF($A53="","",INDEX(SPI!$B$1:$I$931,$A53+(3*$B$1+2)*L$43+1,8))</f>
        <v>-3.2450000000000001E-3</v>
      </c>
      <c r="N53" s="14">
        <f>IF($A53="","",INDEX(SPI!$B$1:$I$931,$A53+(3*$B$1+2)*N$43+1,7))</f>
        <v>9.1107000000000004E-4</v>
      </c>
      <c r="O53" s="14">
        <f>IF($A53="","",INDEX(SPI!$B$1:$I$931,$A53+(3*$B$1+2)*N$43+1,8))</f>
        <v>-2.2000000000000001E-3</v>
      </c>
      <c r="P53" s="14">
        <f>IF($A53="","",INDEX(SPI!$B$1:$I$931,$A53+(3*$B$1+2)*P$43+1,7))</f>
        <v>-2.6089999999999999E-6</v>
      </c>
      <c r="Q53" s="14">
        <f>IF($A53="","",INDEX(SPI!$B$1:$I$931,$A53+(3*$B$1+2)*P$43+1,8))</f>
        <v>-1.6069999999999999E-3</v>
      </c>
      <c r="R53" s="14">
        <f>IF($A53="","",INDEX(SPI!$B$1:$I$931,$A53+(3*$B$1+2)*R$43+1,7))</f>
        <v>2.1729999999999999E-2</v>
      </c>
      <c r="S53" s="14">
        <f>IF($A53="","",INDEX(SPI!$B$1:$I$931,$A53+(3*$B$1+2)*R$43+1,8))</f>
        <v>-2.879E-5</v>
      </c>
      <c r="T53" s="14">
        <f>IF($A53="","",INDEX(SPI!$B$1:$I$931,$A53+(3*$B$1+2)*T$43+1,7))</f>
        <v>-4.4220000000000002E-6</v>
      </c>
      <c r="U53" s="14">
        <f>IF($A53="","",INDEX(SPI!$B$1:$I$931,$A53+(3*$B$1+2)*T$43+1,8))</f>
        <v>7.5591000000000005E-4</v>
      </c>
      <c r="V53" s="14">
        <f>IF($A53="","",INDEX(SPI!$B$1:$I$931,$A53+(3*$B$1+2)*V$43+1,7))</f>
        <v>-5.5400000000000001E-7</v>
      </c>
      <c r="W53" s="14">
        <f>IF($A53="","",INDEX(SPI!$B$1:$I$931,$A53+(3*$B$1+2)*V$43+1,8))</f>
        <v>3.1187000000000001E-4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-6.7739999999999996E-3</v>
      </c>
      <c r="E54" s="14">
        <f>IF($A54="","",INDEX(SPI!$B$1:$I$931,$A54+(3*$B$1+2)*D$43+1,8))</f>
        <v>6.5467000000000004</v>
      </c>
      <c r="F54" s="14">
        <f>IF($A54="","",INDEX(SPI!$B$1:$I$931,$A54+(3*$B$1+2)*F$43+1,7))</f>
        <v>2.7619000000000001E-2</v>
      </c>
      <c r="G54" s="14">
        <f>IF($A54="","",INDEX(SPI!$B$1:$I$931,$A54+(3*$B$1+2)*F$43+1,8))</f>
        <v>4.5398000000000001E-5</v>
      </c>
      <c r="H54" s="14">
        <f>IF($A54="","",INDEX(SPI!$B$1:$I$931,$A54+(3*$B$1+2)*H$43+1,7))</f>
        <v>-8.6330000000000004E-2</v>
      </c>
      <c r="I54" s="14">
        <f>IF($A54="","",INDEX(SPI!$B$1:$I$931,$A54+(3*$B$1+2)*H$43+1,8))</f>
        <v>0.63156999999999996</v>
      </c>
      <c r="J54" s="14">
        <f>IF($A54="","",INDEX(SPI!$B$1:$I$931,$A54+(3*$B$1+2)*J$43+1,7))</f>
        <v>3.5211000000000001E-3</v>
      </c>
      <c r="K54" s="14">
        <f>IF($A54="","",INDEX(SPI!$B$1:$I$931,$A54+(3*$B$1+2)*J$43+1,8))</f>
        <v>0.56606000000000001</v>
      </c>
      <c r="L54" s="14">
        <f>IF($A54="","",INDEX(SPI!$B$1:$I$931,$A54+(3*$B$1+2)*L$43+1,7))</f>
        <v>6.378E-3</v>
      </c>
      <c r="M54" s="14">
        <f>IF($A54="","",INDEX(SPI!$B$1:$I$931,$A54+(3*$B$1+2)*L$43+1,8))</f>
        <v>-3.9020000000000002E-5</v>
      </c>
      <c r="N54" s="14">
        <f>IF($A54="","",INDEX(SPI!$B$1:$I$931,$A54+(3*$B$1+2)*N$43+1,7))</f>
        <v>-2.2269999999999998E-3</v>
      </c>
      <c r="O54" s="14">
        <f>IF($A54="","",INDEX(SPI!$B$1:$I$931,$A54+(3*$B$1+2)*N$43+1,8))</f>
        <v>5.3788999999999998E-3</v>
      </c>
      <c r="P54" s="14">
        <f>IF($A54="","",INDEX(SPI!$B$1:$I$931,$A54+(3*$B$1+2)*P$43+1,7))</f>
        <v>6.0730000000000003E-5</v>
      </c>
      <c r="Q54" s="14">
        <f>IF($A54="","",INDEX(SPI!$B$1:$I$931,$A54+(3*$B$1+2)*P$43+1,8))</f>
        <v>3.7394999999999998E-2</v>
      </c>
      <c r="R54" s="14">
        <f>IF($A54="","",INDEX(SPI!$B$1:$I$931,$A54+(3*$B$1+2)*R$43+1,7))</f>
        <v>1.4476000000000001E-3</v>
      </c>
      <c r="S54" s="14">
        <f>IF($A54="","",INDEX(SPI!$B$1:$I$931,$A54+(3*$B$1+2)*R$43+1,8))</f>
        <v>-1.9180000000000001E-6</v>
      </c>
      <c r="T54" s="14">
        <f>IF($A54="","",INDEX(SPI!$B$1:$I$931,$A54+(3*$B$1+2)*T$43+1,7))</f>
        <v>1.2294E-5</v>
      </c>
      <c r="U54" s="14">
        <f>IF($A54="","",INDEX(SPI!$B$1:$I$931,$A54+(3*$B$1+2)*T$43+1,8))</f>
        <v>-2.101E-3</v>
      </c>
      <c r="V54" s="14">
        <f>IF($A54="","",INDEX(SPI!$B$1:$I$931,$A54+(3*$B$1+2)*V$43+1,7))</f>
        <v>3.6319000000000002E-5</v>
      </c>
      <c r="W54" s="14">
        <f>IF($A54="","",INDEX(SPI!$B$1:$I$931,$A54+(3*$B$1+2)*V$43+1,8))</f>
        <v>-2.044E-2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-5.5080000000000001E-5</v>
      </c>
      <c r="E55" s="15">
        <f>IF($A55="","",INDEX(SPI!$B$1:$I$931,$A55+(3*$B$1+2)*D$43+1,8))</f>
        <v>5.3232000000000002E-2</v>
      </c>
      <c r="F55" s="15">
        <f>IF($A55="","",INDEX(SPI!$B$1:$I$931,$A55+(3*$B$1+2)*F$43+1,7))</f>
        <v>-1.1039999999999999E-3</v>
      </c>
      <c r="G55" s="15">
        <f>IF($A55="","",INDEX(SPI!$B$1:$I$931,$A55+(3*$B$1+2)*F$43+1,8))</f>
        <v>-1.8139999999999999E-6</v>
      </c>
      <c r="H55" s="15">
        <f>IF($A55="","",INDEX(SPI!$B$1:$I$931,$A55+(3*$B$1+2)*H$43+1,7))</f>
        <v>5.8278000000000002E-3</v>
      </c>
      <c r="I55" s="15">
        <f>IF($A55="","",INDEX(SPI!$B$1:$I$931,$A55+(3*$B$1+2)*H$43+1,8))</f>
        <v>-4.2630000000000001E-2</v>
      </c>
      <c r="J55" s="15">
        <f>IF($A55="","",INDEX(SPI!$B$1:$I$931,$A55+(3*$B$1+2)*J$43+1,7))</f>
        <v>1.2330999999999999E-5</v>
      </c>
      <c r="K55" s="15">
        <f>IF($A55="","",INDEX(SPI!$B$1:$I$931,$A55+(3*$B$1+2)*J$43+1,8))</f>
        <v>1.9823000000000002E-3</v>
      </c>
      <c r="L55" s="15">
        <f>IF($A55="","",INDEX(SPI!$B$1:$I$931,$A55+(3*$B$1+2)*L$43+1,7))</f>
        <v>-6.935E-4</v>
      </c>
      <c r="M55" s="15">
        <f>IF($A55="","",INDEX(SPI!$B$1:$I$931,$A55+(3*$B$1+2)*L$43+1,8))</f>
        <v>4.2425999999999998E-6</v>
      </c>
      <c r="N55" s="15">
        <f>IF($A55="","",INDEX(SPI!$B$1:$I$931,$A55+(3*$B$1+2)*N$43+1,7))</f>
        <v>1.5782E-4</v>
      </c>
      <c r="O55" s="15">
        <f>IF($A55="","",INDEX(SPI!$B$1:$I$931,$A55+(3*$B$1+2)*N$43+1,8))</f>
        <v>-3.8109999999999999E-4</v>
      </c>
      <c r="P55" s="15">
        <f>IF($A55="","",INDEX(SPI!$B$1:$I$931,$A55+(3*$B$1+2)*P$43+1,7))</f>
        <v>-4.7830000000000004E-7</v>
      </c>
      <c r="Q55" s="15">
        <f>IF($A55="","",INDEX(SPI!$B$1:$I$931,$A55+(3*$B$1+2)*P$43+1,8))</f>
        <v>-2.945E-4</v>
      </c>
      <c r="R55" s="15">
        <f>IF($A55="","",INDEX(SPI!$B$1:$I$931,$A55+(3*$B$1+2)*R$43+1,7))</f>
        <v>-1.053E-4</v>
      </c>
      <c r="S55" s="15">
        <f>IF($A55="","",INDEX(SPI!$B$1:$I$931,$A55+(3*$B$1+2)*R$43+1,8))</f>
        <v>1.3944999999999999E-7</v>
      </c>
      <c r="T55" s="15">
        <f>IF($A55="","",INDEX(SPI!$B$1:$I$931,$A55+(3*$B$1+2)*T$43+1,7))</f>
        <v>-8.1689999999999996E-7</v>
      </c>
      <c r="U55" s="15">
        <f>IF($A55="","",INDEX(SPI!$B$1:$I$931,$A55+(3*$B$1+2)*T$43+1,8))</f>
        <v>1.3962999999999999E-4</v>
      </c>
      <c r="V55" s="15">
        <f>IF($A55="","",INDEX(SPI!$B$1:$I$931,$A55+(3*$B$1+2)*V$43+1,7))</f>
        <v>-7.617E-8</v>
      </c>
      <c r="W55" s="15">
        <f>IF($A55="","",INDEX(SPI!$B$1:$I$931,$A55+(3*$B$1+2)*V$43+1,8))</f>
        <v>4.2874000000000003E-5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-1.305E-4</v>
      </c>
      <c r="E56" s="14">
        <f>IF($A56="","",INDEX(SPI!$B$1:$I$931,$A56+(3*$B$1+2)*D$43+1,8))</f>
        <v>0.12609999999999999</v>
      </c>
      <c r="F56" s="14">
        <f>IF($A56="","",INDEX(SPI!$B$1:$I$931,$A56+(3*$B$1+2)*F$43+1,7))</f>
        <v>3.4863</v>
      </c>
      <c r="G56" s="14">
        <f>IF($A56="","",INDEX(SPI!$B$1:$I$931,$A56+(3*$B$1+2)*F$43+1,8))</f>
        <v>5.7305000000000004E-3</v>
      </c>
      <c r="H56" s="14">
        <f>IF($A56="","",INDEX(SPI!$B$1:$I$931,$A56+(3*$B$1+2)*H$43+1,7))</f>
        <v>1.5928999999999999E-2</v>
      </c>
      <c r="I56" s="14">
        <f>IF($A56="","",INDEX(SPI!$B$1:$I$931,$A56+(3*$B$1+2)*H$43+1,8))</f>
        <v>-0.11650000000000001</v>
      </c>
      <c r="J56" s="14">
        <f>IF($A56="","",INDEX(SPI!$B$1:$I$931,$A56+(3*$B$1+2)*J$43+1,7))</f>
        <v>5.9561000000000001E-5</v>
      </c>
      <c r="K56" s="14">
        <f>IF($A56="","",INDEX(SPI!$B$1:$I$931,$A56+(3*$B$1+2)*J$43+1,8))</f>
        <v>9.5750999999999996E-3</v>
      </c>
      <c r="L56" s="14">
        <f>IF($A56="","",INDEX(SPI!$B$1:$I$931,$A56+(3*$B$1+2)*L$43+1,7))</f>
        <v>0.38595000000000002</v>
      </c>
      <c r="M56" s="14">
        <f>IF($A56="","",INDEX(SPI!$B$1:$I$931,$A56+(3*$B$1+2)*L$43+1,8))</f>
        <v>-2.3609999999999998E-3</v>
      </c>
      <c r="N56" s="14">
        <f>IF($A56="","",INDEX(SPI!$B$1:$I$931,$A56+(3*$B$1+2)*N$43+1,7))</f>
        <v>6.2713000000000005E-4</v>
      </c>
      <c r="O56" s="14">
        <f>IF($A56="","",INDEX(SPI!$B$1:$I$931,$A56+(3*$B$1+2)*N$43+1,8))</f>
        <v>-1.5150000000000001E-3</v>
      </c>
      <c r="P56" s="14">
        <f>IF($A56="","",INDEX(SPI!$B$1:$I$931,$A56+(3*$B$1+2)*P$43+1,7))</f>
        <v>-2.5129999999999999E-6</v>
      </c>
      <c r="Q56" s="14">
        <f>IF($A56="","",INDEX(SPI!$B$1:$I$931,$A56+(3*$B$1+2)*P$43+1,8))</f>
        <v>-1.5479999999999999E-3</v>
      </c>
      <c r="R56" s="14">
        <f>IF($A56="","",INDEX(SPI!$B$1:$I$931,$A56+(3*$B$1+2)*R$43+1,7))</f>
        <v>0.11459999999999999</v>
      </c>
      <c r="S56" s="14">
        <f>IF($A56="","",INDEX(SPI!$B$1:$I$931,$A56+(3*$B$1+2)*R$43+1,8))</f>
        <v>-1.518E-4</v>
      </c>
      <c r="T56" s="14">
        <f>IF($A56="","",INDEX(SPI!$B$1:$I$931,$A56+(3*$B$1+2)*T$43+1,7))</f>
        <v>-1.5930000000000002E-5</v>
      </c>
      <c r="U56" s="14">
        <f>IF($A56="","",INDEX(SPI!$B$1:$I$931,$A56+(3*$B$1+2)*T$43+1,8))</f>
        <v>2.7222000000000001E-3</v>
      </c>
      <c r="V56" s="14">
        <f>IF($A56="","",INDEX(SPI!$B$1:$I$931,$A56+(3*$B$1+2)*V$43+1,7))</f>
        <v>4.2742999999999999E-6</v>
      </c>
      <c r="W56" s="14">
        <f>IF($A56="","",INDEX(SPI!$B$1:$I$931,$A56+(3*$B$1+2)*V$43+1,8))</f>
        <v>-2.4060000000000002E-3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-3.1830000000000001E-3</v>
      </c>
      <c r="E57" s="14">
        <f>IF($A57="","",INDEX(SPI!$B$1:$I$931,$A57+(3*$B$1+2)*D$43+1,8))</f>
        <v>3.0764</v>
      </c>
      <c r="F57" s="14">
        <f>IF($A57="","",INDEX(SPI!$B$1:$I$931,$A57+(3*$B$1+2)*F$43+1,7))</f>
        <v>2.0330999999999998E-2</v>
      </c>
      <c r="G57" s="14">
        <f>IF($A57="","",INDEX(SPI!$B$1:$I$931,$A57+(3*$B$1+2)*F$43+1,8))</f>
        <v>3.3419E-5</v>
      </c>
      <c r="H57" s="14">
        <f>IF($A57="","",INDEX(SPI!$B$1:$I$931,$A57+(3*$B$1+2)*H$43+1,7))</f>
        <v>-4.0050000000000002E-2</v>
      </c>
      <c r="I57" s="14">
        <f>IF($A57="","",INDEX(SPI!$B$1:$I$931,$A57+(3*$B$1+2)*H$43+1,8))</f>
        <v>0.29302</v>
      </c>
      <c r="J57" s="14">
        <f>IF($A57="","",INDEX(SPI!$B$1:$I$931,$A57+(3*$B$1+2)*J$43+1,7))</f>
        <v>2.4639000000000002E-3</v>
      </c>
      <c r="K57" s="14">
        <f>IF($A57="","",INDEX(SPI!$B$1:$I$931,$A57+(3*$B$1+2)*J$43+1,8))</f>
        <v>0.39610000000000001</v>
      </c>
      <c r="L57" s="14">
        <f>IF($A57="","",INDEX(SPI!$B$1:$I$931,$A57+(3*$B$1+2)*L$43+1,7))</f>
        <v>2.6248E-3</v>
      </c>
      <c r="M57" s="14">
        <f>IF($A57="","",INDEX(SPI!$B$1:$I$931,$A57+(3*$B$1+2)*L$43+1,8))</f>
        <v>-1.6059999999999999E-5</v>
      </c>
      <c r="N57" s="14">
        <f>IF($A57="","",INDEX(SPI!$B$1:$I$931,$A57+(3*$B$1+2)*N$43+1,7))</f>
        <v>-1.523E-3</v>
      </c>
      <c r="O57" s="14">
        <f>IF($A57="","",INDEX(SPI!$B$1:$I$931,$A57+(3*$B$1+2)*N$43+1,8))</f>
        <v>3.6770000000000001E-3</v>
      </c>
      <c r="P57" s="14">
        <f>IF($A57="","",INDEX(SPI!$B$1:$I$931,$A57+(3*$B$1+2)*P$43+1,7))</f>
        <v>2.0191E-4</v>
      </c>
      <c r="Q57" s="14">
        <f>IF($A57="","",INDEX(SPI!$B$1:$I$931,$A57+(3*$B$1+2)*P$43+1,8))</f>
        <v>0.12433</v>
      </c>
      <c r="R57" s="14">
        <f>IF($A57="","",INDEX(SPI!$B$1:$I$931,$A57+(3*$B$1+2)*R$43+1,7))</f>
        <v>1.5976E-4</v>
      </c>
      <c r="S57" s="14">
        <f>IF($A57="","",INDEX(SPI!$B$1:$I$931,$A57+(3*$B$1+2)*R$43+1,8))</f>
        <v>-2.117E-7</v>
      </c>
      <c r="T57" s="14">
        <f>IF($A57="","",INDEX(SPI!$B$1:$I$931,$A57+(3*$B$1+2)*T$43+1,7))</f>
        <v>3.7540999999999999E-5</v>
      </c>
      <c r="U57" s="14">
        <f>IF($A57="","",INDEX(SPI!$B$1:$I$931,$A57+(3*$B$1+2)*T$43+1,8))</f>
        <v>-6.417E-3</v>
      </c>
      <c r="V57" s="14">
        <f>IF($A57="","",INDEX(SPI!$B$1:$I$931,$A57+(3*$B$1+2)*V$43+1,7))</f>
        <v>-4.9929999999999998E-5</v>
      </c>
      <c r="W57" s="14">
        <f>IF($A57="","",INDEX(SPI!$B$1:$I$931,$A57+(3*$B$1+2)*V$43+1,8))</f>
        <v>2.8108000000000001E-2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-2.3070000000000001E-5</v>
      </c>
      <c r="E58" s="15">
        <f>IF($A58="","",INDEX(SPI!$B$1:$I$931,$A58+(3*$B$1+2)*D$43+1,8))</f>
        <v>2.2294999999999999E-2</v>
      </c>
      <c r="F58" s="15">
        <f>IF($A58="","",INDEX(SPI!$B$1:$I$931,$A58+(3*$B$1+2)*F$43+1,7))</f>
        <v>-1.0349999999999999E-3</v>
      </c>
      <c r="G58" s="15">
        <f>IF($A58="","",INDEX(SPI!$B$1:$I$931,$A58+(3*$B$1+2)*F$43+1,8))</f>
        <v>-1.7010000000000001E-6</v>
      </c>
      <c r="H58" s="15">
        <f>IF($A58="","",INDEX(SPI!$B$1:$I$931,$A58+(3*$B$1+2)*H$43+1,7))</f>
        <v>2.6854000000000001E-3</v>
      </c>
      <c r="I58" s="15">
        <f>IF($A58="","",INDEX(SPI!$B$1:$I$931,$A58+(3*$B$1+2)*H$43+1,8))</f>
        <v>-1.9640000000000001E-2</v>
      </c>
      <c r="J58" s="15">
        <f>IF($A58="","",INDEX(SPI!$B$1:$I$931,$A58+(3*$B$1+2)*J$43+1,7))</f>
        <v>7.5151000000000003E-6</v>
      </c>
      <c r="K58" s="15">
        <f>IF($A58="","",INDEX(SPI!$B$1:$I$931,$A58+(3*$B$1+2)*J$43+1,8))</f>
        <v>1.2080999999999999E-3</v>
      </c>
      <c r="L58" s="15">
        <f>IF($A58="","",INDEX(SPI!$B$1:$I$931,$A58+(3*$B$1+2)*L$43+1,7))</f>
        <v>-3.5619999999999998E-4</v>
      </c>
      <c r="M58" s="15">
        <f>IF($A58="","",INDEX(SPI!$B$1:$I$931,$A58+(3*$B$1+2)*L$43+1,8))</f>
        <v>2.1791999999999998E-6</v>
      </c>
      <c r="N58" s="15">
        <f>IF($A58="","",INDEX(SPI!$B$1:$I$931,$A58+(3*$B$1+2)*N$43+1,7))</f>
        <v>1.0781999999999999E-4</v>
      </c>
      <c r="O58" s="15">
        <f>IF($A58="","",INDEX(SPI!$B$1:$I$931,$A58+(3*$B$1+2)*N$43+1,8))</f>
        <v>-2.6039999999999999E-4</v>
      </c>
      <c r="P58" s="15">
        <f>IF($A58="","",INDEX(SPI!$B$1:$I$931,$A58+(3*$B$1+2)*P$43+1,7))</f>
        <v>-4.9739999999999999E-7</v>
      </c>
      <c r="Q58" s="15">
        <f>IF($A58="","",INDEX(SPI!$B$1:$I$931,$A58+(3*$B$1+2)*P$43+1,8))</f>
        <v>-3.0630000000000002E-4</v>
      </c>
      <c r="R58" s="15">
        <f>IF($A58="","",INDEX(SPI!$B$1:$I$931,$A58+(3*$B$1+2)*R$43+1,7))</f>
        <v>-2.1829999999999999E-5</v>
      </c>
      <c r="S58" s="15">
        <f>IF($A58="","",INDEX(SPI!$B$1:$I$931,$A58+(3*$B$1+2)*R$43+1,8))</f>
        <v>2.8918999999999999E-8</v>
      </c>
      <c r="T58" s="15">
        <f>IF($A58="","",INDEX(SPI!$B$1:$I$931,$A58+(3*$B$1+2)*T$43+1,7))</f>
        <v>-2.7980000000000001E-6</v>
      </c>
      <c r="U58" s="15">
        <f>IF($A58="","",INDEX(SPI!$B$1:$I$931,$A58+(3*$B$1+2)*T$43+1,8))</f>
        <v>4.7827999999999998E-4</v>
      </c>
      <c r="V58" s="15">
        <f>IF($A58="","",INDEX(SPI!$B$1:$I$931,$A58+(3*$B$1+2)*V$43+1,7))</f>
        <v>7.3888000000000001E-7</v>
      </c>
      <c r="W58" s="15">
        <f>IF($A58="","",INDEX(SPI!$B$1:$I$931,$A58+(3*$B$1+2)*V$43+1,8))</f>
        <v>-4.1590000000000003E-4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 x14ac:dyDescent="0.2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 x14ac:dyDescent="0.2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5</v>
      </c>
    </row>
    <row r="3" spans="1:14" x14ac:dyDescent="0.2">
      <c r="A3" s="10" t="s">
        <v>25</v>
      </c>
      <c r="D3" s="6" t="s">
        <v>31</v>
      </c>
      <c r="E3" s="1">
        <f>Dati!B4</f>
        <v>6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16.399999999999999</v>
      </c>
      <c r="E8" s="3">
        <f t="shared" si="1"/>
        <v>16.399999999999999</v>
      </c>
      <c r="F8" s="3">
        <f t="shared" si="1"/>
        <v>24.9</v>
      </c>
      <c r="G8" s="3">
        <f t="shared" si="1"/>
        <v>24.9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</v>
      </c>
      <c r="C9" s="3">
        <f>B11</f>
        <v>8.5</v>
      </c>
      <c r="D9" s="3">
        <f t="shared" ref="D9:M9" si="2">C11</f>
        <v>8.5</v>
      </c>
      <c r="E9" s="3">
        <f t="shared" si="2"/>
        <v>14</v>
      </c>
      <c r="F9" s="3">
        <f t="shared" si="2"/>
        <v>14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16.399999999999999</v>
      </c>
      <c r="D10" s="3">
        <f>Dati!E8</f>
        <v>16.399999999999999</v>
      </c>
      <c r="E10" s="3">
        <f>Dati!F8</f>
        <v>24.9</v>
      </c>
      <c r="F10" s="3">
        <f>Dati!G8</f>
        <v>24.9</v>
      </c>
      <c r="G10" s="3">
        <f>Dati!H8</f>
        <v>0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8.5</v>
      </c>
      <c r="C11" s="3">
        <f>Dati!D9</f>
        <v>8.5</v>
      </c>
      <c r="D11" s="3">
        <f>Dati!E9</f>
        <v>14</v>
      </c>
      <c r="E11" s="3">
        <f>Dati!F9</f>
        <v>14</v>
      </c>
      <c r="F11" s="3">
        <f>Dati!G9</f>
        <v>0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5.4666666666666659</v>
      </c>
      <c r="D12" s="3">
        <f t="shared" si="3"/>
        <v>10.933333333333332</v>
      </c>
      <c r="E12" s="3">
        <f t="shared" si="3"/>
        <v>13.766666666666666</v>
      </c>
      <c r="F12" s="3">
        <f t="shared" si="3"/>
        <v>16.599999999999998</v>
      </c>
      <c r="G12" s="3">
        <f t="shared" si="3"/>
        <v>8.2999999999999989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2.8333333333333335</v>
      </c>
      <c r="C13" s="3">
        <f t="shared" ref="C13:M13" si="4">(C9+C11)/3</f>
        <v>5.666666666666667</v>
      </c>
      <c r="D13" s="3">
        <f t="shared" si="4"/>
        <v>7.5</v>
      </c>
      <c r="E13" s="3">
        <f t="shared" si="4"/>
        <v>9.3333333333333339</v>
      </c>
      <c r="F13" s="3">
        <f t="shared" si="4"/>
        <v>4.666666666666667</v>
      </c>
      <c r="G13" s="3">
        <f t="shared" si="4"/>
        <v>0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-69.699999999999989</v>
      </c>
      <c r="D14" s="9">
        <f t="shared" si="5"/>
        <v>45.099999999999994</v>
      </c>
      <c r="E14" s="9">
        <f t="shared" si="5"/>
        <v>-59.5</v>
      </c>
      <c r="F14" s="9">
        <f t="shared" si="5"/>
        <v>-174.29999999999998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-258.39999999999998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-381.02666666666653</v>
      </c>
      <c r="D15" s="11">
        <f t="shared" si="6"/>
        <v>493.09333333333319</v>
      </c>
      <c r="E15" s="11">
        <f t="shared" si="6"/>
        <v>-819.11666666666656</v>
      </c>
      <c r="F15" s="11">
        <f t="shared" si="6"/>
        <v>-2893.3799999999992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-3600.4299999999994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-394.96666666666664</v>
      </c>
      <c r="D16" s="11">
        <f t="shared" si="7"/>
        <v>338.24999999999994</v>
      </c>
      <c r="E16" s="11">
        <f t="shared" si="7"/>
        <v>-555.33333333333337</v>
      </c>
      <c r="F16" s="11">
        <f t="shared" si="7"/>
        <v>-813.4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-1425.45</v>
      </c>
    </row>
    <row r="18" spans="1:22" x14ac:dyDescent="0.2">
      <c r="A18" s="6" t="s">
        <v>12</v>
      </c>
      <c r="B18" s="3">
        <f>N15/N14</f>
        <v>13.933552631578946</v>
      </c>
      <c r="E18" s="7" t="s">
        <v>61</v>
      </c>
      <c r="H18" s="6" t="s">
        <v>60</v>
      </c>
      <c r="I18" s="3">
        <f>B18-F19</f>
        <v>13.186552631578946</v>
      </c>
      <c r="J18" s="3">
        <f>B18+F19</f>
        <v>14.680552631578946</v>
      </c>
      <c r="L18" s="3">
        <f>B18</f>
        <v>13.933552631578946</v>
      </c>
      <c r="M18" s="3">
        <f>B18</f>
        <v>13.933552631578946</v>
      </c>
    </row>
    <row r="19" spans="1:22" x14ac:dyDescent="0.2">
      <c r="A19" s="6" t="s">
        <v>13</v>
      </c>
      <c r="B19" s="3">
        <f>N16/N14</f>
        <v>5.5164473684210531</v>
      </c>
      <c r="E19" s="29">
        <v>0.03</v>
      </c>
      <c r="F19" s="1">
        <f>E19*MAX(B24:B25)</f>
        <v>0.74699999999999989</v>
      </c>
      <c r="I19" s="3">
        <f>B19</f>
        <v>5.5164473684210531</v>
      </c>
      <c r="J19" s="3">
        <f>B19</f>
        <v>5.5164473684210531</v>
      </c>
      <c r="L19" s="3">
        <f>B19-F19</f>
        <v>4.7694473684210532</v>
      </c>
      <c r="M19" s="3">
        <f>B19+F19</f>
        <v>6.263447368421053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24.9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14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 t="str">
        <f>Dati!H7</f>
        <v/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24.9</v>
      </c>
      <c r="C24" s="6" t="s">
        <v>53</v>
      </c>
      <c r="D24" s="2">
        <f>V26/B24</f>
        <v>6.0610551713077861E-7</v>
      </c>
      <c r="E24" s="6" t="s">
        <v>55</v>
      </c>
      <c r="G24" s="5" t="s">
        <v>14</v>
      </c>
      <c r="H24" s="21">
        <f>Dati!B8-$B$18</f>
        <v>-13.933552631578946</v>
      </c>
      <c r="I24" s="21">
        <f>Dati!C8-$B$18</f>
        <v>-13.933552631578946</v>
      </c>
      <c r="J24" s="21">
        <f>Dati!D8-$B$18</f>
        <v>2.4664473684210524</v>
      </c>
      <c r="K24" s="21">
        <f>IF(K23&lt;=$E$3,Dati!E8-$B$18,"")</f>
        <v>2.4664473684210524</v>
      </c>
      <c r="L24" s="21">
        <f>IF(L23&lt;=$E$3,Dati!F8-$B$18,"")</f>
        <v>10.966447368421052</v>
      </c>
      <c r="M24" s="21">
        <f>IF(M23&lt;=$E$3,Dati!G8-$B$18,"")</f>
        <v>10.966447368421052</v>
      </c>
      <c r="N24" s="21" t="str">
        <f>IF(N23&lt;=$E$3,Dati!H8-$B$18,"")</f>
        <v/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14</v>
      </c>
      <c r="C25" s="6" t="s">
        <v>54</v>
      </c>
      <c r="D25" s="2">
        <f>V27/B25</f>
        <v>4.4242857330725998E-5</v>
      </c>
      <c r="E25" s="2">
        <f>MAX(V26:V27)/MAX(B24:B25)</f>
        <v>2.4875502113661205E-5</v>
      </c>
      <c r="G25" s="5" t="s">
        <v>15</v>
      </c>
      <c r="H25" s="21">
        <f>Dati!B9-$B$19</f>
        <v>-5.5164473684210531</v>
      </c>
      <c r="I25" s="21">
        <f>Dati!C9-$B$19</f>
        <v>2.9835526315789469</v>
      </c>
      <c r="J25" s="21">
        <f>Dati!D9-$B$19</f>
        <v>2.9835526315789469</v>
      </c>
      <c r="K25" s="21">
        <f>IF(K23&lt;=$E$3,Dati!E9-$B$19,"")</f>
        <v>8.4835526315789469</v>
      </c>
      <c r="L25" s="21">
        <f>IF(L23&lt;=$E$3,Dati!F9-$B$19,"")</f>
        <v>8.4835526315789469</v>
      </c>
      <c r="M25" s="21">
        <f>IF(M23&lt;=$E$3,Dati!G9-$B$19,"")</f>
        <v>-5.5164473684210531</v>
      </c>
      <c r="N25" s="21" t="str">
        <f>IF(N23&lt;=$E$3,Dati!H9-$B$19,"")</f>
        <v/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14.985829323248685</v>
      </c>
      <c r="I26" s="21">
        <f>SQRT(I24^2+I25^2)</f>
        <v>14.2494026275624</v>
      </c>
      <c r="J26" s="21">
        <f>SQRT(J24^2+J25^2)</f>
        <v>3.8710397733157937</v>
      </c>
      <c r="K26" s="21">
        <f>IF(K23&lt;=$E$3,SQRT(K24^2+K25^2),"")</f>
        <v>8.8348190628875471</v>
      </c>
      <c r="L26" s="21">
        <f t="shared" ref="L26:R26" si="8">IF(L23&lt;=$E$3,SQRT(L24^2+L25^2),"")</f>
        <v>13.864834407129395</v>
      </c>
      <c r="M26" s="21">
        <f t="shared" si="8"/>
        <v>12.275754944316402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1.5092027376556387E-5</v>
      </c>
    </row>
    <row r="27" spans="1:22" x14ac:dyDescent="0.2">
      <c r="G27" s="5" t="s">
        <v>16</v>
      </c>
      <c r="H27" s="22">
        <f>ATAN2(H24,H25)</f>
        <v>-2.7646162010814481</v>
      </c>
      <c r="I27" s="22">
        <f>ATAN2(I24,I25)</f>
        <v>2.9306508790013424</v>
      </c>
      <c r="J27" s="22">
        <f>ATAN2(J24,J25)</f>
        <v>0.87999666585369829</v>
      </c>
      <c r="K27" s="22">
        <f>IF(K23&lt;=$E$3,ATAN2(K24,K25),"")</f>
        <v>1.2878630460928508</v>
      </c>
      <c r="L27" s="22">
        <f t="shared" ref="L27:R27" si="9">IF(L23&lt;=$E$3,ATAN2(L24,L25),"")</f>
        <v>0.65842962261777249</v>
      </c>
      <c r="M27" s="22">
        <f t="shared" si="9"/>
        <v>-0.46606833144925702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6.1940000263016398E-4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4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5</v>
      </c>
      <c r="B30" s="4" t="s">
        <v>0</v>
      </c>
      <c r="C30" s="14">
        <f>HLOOKUP(Elab!$C$29,'Elab-Modi'!$C$5:$AF$35,2)</f>
        <v>4.2982999999999997E-3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4.2983122961450821E-6</v>
      </c>
      <c r="I30" s="2">
        <f t="shared" ref="I30:S30" si="10">IF(OR(I$23="",$C30=""),"",I$26*(COS(I$27+$F31)-COS(I$27))+$D31)</f>
        <v>-6.9947877020503942E-6</v>
      </c>
      <c r="J30" s="2">
        <f t="shared" si="10"/>
        <v>-6.9948021769140745E-6</v>
      </c>
      <c r="K30" s="2">
        <f t="shared" si="10"/>
        <v>-1.4302102177009549E-5</v>
      </c>
      <c r="L30" s="2">
        <f t="shared" si="10"/>
        <v>-1.430210967883619E-5</v>
      </c>
      <c r="M30" s="2">
        <f t="shared" si="10"/>
        <v>4.2982903217900648E-6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-1.430210967883619E-5</v>
      </c>
      <c r="U30" s="2">
        <f>MAX(H30:S30)</f>
        <v>4.2983122961450821E-6</v>
      </c>
      <c r="V30" s="2">
        <f>MAX(-T30,U30)</f>
        <v>1.430210967883619E-5</v>
      </c>
    </row>
    <row r="31" spans="1:22" x14ac:dyDescent="0.2">
      <c r="B31" s="4" t="s">
        <v>1</v>
      </c>
      <c r="C31" s="14">
        <f>HLOOKUP(Elab!$C$29,'Elab-Modi'!$C$5:$AF$35,3)</f>
        <v>-0.61939999999999995</v>
      </c>
      <c r="D31" s="14">
        <f>(C30-C32*$B$19)*$F$28</f>
        <v>-3.0308519736842118E-6</v>
      </c>
      <c r="E31" s="14">
        <f>(C31+C32*$B$18)*$F$28</f>
        <v>-6.0088788197368412E-4</v>
      </c>
      <c r="F31" s="14">
        <f>C32*$F$28</f>
        <v>1.3286000000000001E-6</v>
      </c>
      <c r="G31" s="1" t="str">
        <f>IF(C30="","","Vy")</f>
        <v>Vy</v>
      </c>
      <c r="H31" s="2">
        <f>IF(OR(H$23="",$C30=""),"",H$26*(SIN(H$27+$F31)-SIN(H$27))+$E31)</f>
        <v>-6.1939999512799571E-4</v>
      </c>
      <c r="I31" s="2">
        <f t="shared" ref="I31:S31" si="11">IF(OR(I$23="",$C30=""),"",I$26*(SIN(I$27+$F31)-SIN(I$27))+$E31)</f>
        <v>-6.1940000263016398E-4</v>
      </c>
      <c r="J31" s="2">
        <f t="shared" si="11"/>
        <v>-5.9761096263311563E-4</v>
      </c>
      <c r="K31" s="2">
        <f t="shared" si="11"/>
        <v>-5.9761096748762511E-4</v>
      </c>
      <c r="L31" s="2">
        <f t="shared" si="11"/>
        <v>-5.8631786748804151E-4</v>
      </c>
      <c r="M31" s="2">
        <f t="shared" si="11"/>
        <v>-5.8631785513104599E-4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-6.1940000263016398E-4</v>
      </c>
      <c r="U31" s="2">
        <f>MAX(H31:S31)</f>
        <v>-5.8631785513104599E-4</v>
      </c>
      <c r="V31" s="2">
        <f>MAX(-T31,U31)</f>
        <v>6.1940000263016398E-4</v>
      </c>
    </row>
    <row r="32" spans="1:22" x14ac:dyDescent="0.2">
      <c r="A32" s="13"/>
      <c r="B32" s="13" t="s">
        <v>2</v>
      </c>
      <c r="C32" s="15">
        <f>HLOOKUP(Elab!$C$29,'Elab-Modi'!$C$5:$AF$35,4)</f>
        <v>1.3286000000000001E-3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-1.848E-3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-1.8479999974958302E-6</v>
      </c>
      <c r="I33" s="2">
        <f t="shared" si="12"/>
        <v>-1.9248884500445114E-6</v>
      </c>
      <c r="J33" s="2">
        <f t="shared" si="12"/>
        <v>-1.9248884503034511E-6</v>
      </c>
      <c r="K33" s="2">
        <f t="shared" si="12"/>
        <v>-1.9746398001498402E-6</v>
      </c>
      <c r="L33" s="2">
        <f t="shared" si="12"/>
        <v>-1.9746398007821228E-6</v>
      </c>
      <c r="M33" s="2">
        <f t="shared" si="12"/>
        <v>-1.84800000043837E-6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-1.9746398007821228E-6</v>
      </c>
      <c r="U33" s="2">
        <f>MAX(H33:S33)</f>
        <v>-1.8479999974958302E-6</v>
      </c>
      <c r="V33" s="2">
        <f>MAX(-T33,U33)</f>
        <v>1.9746398007821228E-6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-0.29189999999999999</v>
      </c>
      <c r="D34" s="14">
        <f>IF(C33="","",(C33-C35*$B$19)*$F$28)</f>
        <v>-1.8979001279605265E-6</v>
      </c>
      <c r="E34" s="14">
        <f>IF(C33="","",(C34+C35*$B$18)*$F$28)</f>
        <v>-2.9177396126296051E-4</v>
      </c>
      <c r="F34" s="14">
        <f>IF(C33="","",C35*$F$28)</f>
        <v>9.0457000000000007E-9</v>
      </c>
      <c r="G34" s="1" t="str">
        <f>IF(C33="","","Vy")</f>
        <v>Vy</v>
      </c>
      <c r="H34" s="2">
        <f t="shared" ref="H34:S34" si="13">IF(OR(H$23="",$C33=""),"",H$26*(SIN(H$27+$F34)-SIN(H$27))+$E34)</f>
        <v>-2.9190000000252667E-4</v>
      </c>
      <c r="I34" s="2">
        <f t="shared" si="13"/>
        <v>-2.9190000000259514E-4</v>
      </c>
      <c r="J34" s="2">
        <f t="shared" si="13"/>
        <v>-2.9175165052002877E-4</v>
      </c>
      <c r="K34" s="2">
        <f t="shared" si="13"/>
        <v>-2.9175165052104109E-4</v>
      </c>
      <c r="L34" s="2">
        <f t="shared" si="13"/>
        <v>-2.9167476207121788E-4</v>
      </c>
      <c r="M34" s="2">
        <f t="shared" si="13"/>
        <v>-2.9167476206979812E-4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-2.9190000000259514E-4</v>
      </c>
      <c r="U34" s="2">
        <f>MAX(H34:S34)</f>
        <v>-2.9167476206979812E-4</v>
      </c>
      <c r="V34" s="2">
        <f>MAX(-T34,U34)</f>
        <v>2.9190000000259514E-4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9.0457000000000005E-6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9.5812999999999992E-3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9.5813123483717818E-6</v>
      </c>
      <c r="I36" s="2">
        <f t="shared" si="14"/>
        <v>-1.7347376520321948E-6</v>
      </c>
      <c r="J36" s="2">
        <f t="shared" si="14"/>
        <v>-1.7347521860652295E-6</v>
      </c>
      <c r="K36" s="2">
        <f t="shared" si="14"/>
        <v>-9.0569021862496025E-6</v>
      </c>
      <c r="L36" s="2">
        <f t="shared" si="14"/>
        <v>-9.0569097195737376E-6</v>
      </c>
      <c r="M36" s="2">
        <f t="shared" si="14"/>
        <v>9.5812902824580341E-6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-9.0569097195737376E-6</v>
      </c>
      <c r="U36" s="2">
        <f>MAX(H36:S36)</f>
        <v>9.5813123483717818E-6</v>
      </c>
      <c r="V36" s="2">
        <f>MAX(-T36,U36)</f>
        <v>9.5813123483717818E-6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0.31231999999999999</v>
      </c>
      <c r="D37" s="14">
        <f>IF(C36="","",(C36-C38*$B$19)*$F$28)</f>
        <v>2.2372536184210502E-6</v>
      </c>
      <c r="E37" s="14">
        <f>IF(C36="","",(C37+C38*$B$18)*$F$28)</f>
        <v>3.3086973861842106E-4</v>
      </c>
      <c r="F37" s="14">
        <f>IF(C36="","",C38*$F$28)</f>
        <v>1.3313000000000001E-6</v>
      </c>
      <c r="G37" s="1" t="str">
        <f>IF(C36="","","Vy")</f>
        <v>Vy</v>
      </c>
      <c r="H37" s="2">
        <f t="shared" ref="H37:S37" si="15">IF(OR(H$23="",$C36=""),"",H$26*(SIN(H$27+$F37)-SIN(H$27))+$E37)</f>
        <v>3.1232000488845302E-4</v>
      </c>
      <c r="I37" s="2">
        <f t="shared" si="15"/>
        <v>3.1231999735589376E-4</v>
      </c>
      <c r="J37" s="2">
        <f t="shared" si="15"/>
        <v>3.3415331735603887E-4</v>
      </c>
      <c r="K37" s="2">
        <f t="shared" si="15"/>
        <v>3.3415331248133525E-4</v>
      </c>
      <c r="L37" s="2">
        <f t="shared" si="15"/>
        <v>3.4546936248156538E-4</v>
      </c>
      <c r="M37" s="2">
        <f t="shared" si="15"/>
        <v>3.4546937488849389E-4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3.1231999735589376E-4</v>
      </c>
      <c r="U37" s="2">
        <f>MAX(H37:S37)</f>
        <v>3.4546937488849389E-4</v>
      </c>
      <c r="V37" s="2">
        <f>MAX(-T37,U37)</f>
        <v>3.4546937488849389E-4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1.3313000000000001E-3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1.5092E-2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1.5092027376556387E-5</v>
      </c>
      <c r="I39" s="2">
        <f t="shared" si="16"/>
        <v>-1.7575226240779004E-6</v>
      </c>
      <c r="J39" s="2">
        <f t="shared" si="16"/>
        <v>-1.7575548462536353E-6</v>
      </c>
      <c r="K39" s="2">
        <f t="shared" si="16"/>
        <v>-1.2660204845435684E-5</v>
      </c>
      <c r="L39" s="2">
        <f t="shared" si="16"/>
        <v>-1.2660221547051001E-5</v>
      </c>
      <c r="M39" s="2">
        <f t="shared" si="16"/>
        <v>1.5091978452941848E-5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-1.2660221547051001E-5</v>
      </c>
      <c r="U39" s="2">
        <f>MAX(H39:S39)</f>
        <v>1.5092027376556387E-5</v>
      </c>
      <c r="V39" s="2">
        <f>MAX(-T39,U39)</f>
        <v>1.5092027376556387E-5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0.56606000000000001</v>
      </c>
      <c r="D40" s="14">
        <f>IF(C39="","",(C39-C41*$B$19)*$F$28)</f>
        <v>4.1567463815789453E-6</v>
      </c>
      <c r="E40" s="14">
        <f>IF(C39="","",(C40+C41*$B$18)*$F$28)</f>
        <v>5.9368048138157888E-4</v>
      </c>
      <c r="F40" s="14">
        <f>IF(C39="","",C41*$F$28)</f>
        <v>1.9823000000000001E-6</v>
      </c>
      <c r="G40" s="1" t="str">
        <f>IF(C39="","","Vy")</f>
        <v>Vy</v>
      </c>
      <c r="H40" s="2">
        <f t="shared" ref="H40:S40" si="17">IF(OR(H$23="",$C39=""),"",H$26*(SIN(H$27+$F40)-SIN(H$27))+$E40)</f>
        <v>5.6606001083616786E-4</v>
      </c>
      <c r="I40" s="2">
        <f t="shared" si="17"/>
        <v>5.6605999413605976E-4</v>
      </c>
      <c r="J40" s="2">
        <f t="shared" si="17"/>
        <v>5.9856971413799198E-4</v>
      </c>
      <c r="K40" s="2">
        <f t="shared" si="17"/>
        <v>5.9856970333096841E-4</v>
      </c>
      <c r="L40" s="2">
        <f t="shared" si="17"/>
        <v>6.1541925333230259E-4</v>
      </c>
      <c r="M40" s="2">
        <f t="shared" si="17"/>
        <v>6.154192808381176E-4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5.6605999413605976E-4</v>
      </c>
      <c r="U40" s="2">
        <f>MAX(H40:S40)</f>
        <v>6.154192808381176E-4</v>
      </c>
      <c r="V40" s="2">
        <f>MAX(-T40,U40)</f>
        <v>6.154192808381176E-4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1.9823000000000002E-3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9.5750999999999996E-3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9.5751101682656021E-6</v>
      </c>
      <c r="I42" s="2">
        <f t="shared" si="18"/>
        <v>-6.9373983198276785E-7</v>
      </c>
      <c r="J42" s="2">
        <f t="shared" si="18"/>
        <v>-6.9375180012947036E-7</v>
      </c>
      <c r="K42" s="2">
        <f t="shared" si="18"/>
        <v>-7.3383018003400755E-6</v>
      </c>
      <c r="L42" s="2">
        <f t="shared" si="18"/>
        <v>-7.3383080032059281E-6</v>
      </c>
      <c r="M42" s="2">
        <f t="shared" si="18"/>
        <v>9.575091997460623E-6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-7.3383080032059281E-6</v>
      </c>
      <c r="U42" s="2">
        <f>MAX(H42:S42)</f>
        <v>9.5751101682656021E-6</v>
      </c>
      <c r="V42" s="2">
        <f>MAX(-T42,U42)</f>
        <v>9.5751101682656021E-6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0.39610000000000001</v>
      </c>
      <c r="D43" s="14">
        <f>IF(C42="","",(C42-C44*$B$19)*$F$28)</f>
        <v>2.910679934210526E-6</v>
      </c>
      <c r="E43" s="14">
        <f>IF(C42="","",(C43+C44*$B$18)*$F$28)</f>
        <v>4.1293312493421053E-4</v>
      </c>
      <c r="F43" s="14">
        <f>IF(C42="","",C44*$F$28)</f>
        <v>1.2080999999999999E-6</v>
      </c>
      <c r="G43" s="1" t="str">
        <f>IF(C42="","","Vy")</f>
        <v>Vy</v>
      </c>
      <c r="H43" s="2">
        <f t="shared" ref="H43:S43" si="19">IF(OR(H$23="",$C42=""),"",H$26*(SIN(H$27+$F43)-SIN(H$27))+$E43)</f>
        <v>3.9610000402482586E-4</v>
      </c>
      <c r="I43" s="2">
        <f t="shared" si="19"/>
        <v>3.9609999782219257E-4</v>
      </c>
      <c r="J43" s="2">
        <f t="shared" si="19"/>
        <v>4.1591283782292518E-4</v>
      </c>
      <c r="K43" s="2">
        <f t="shared" si="19"/>
        <v>4.159128338087653E-4</v>
      </c>
      <c r="L43" s="2">
        <f t="shared" si="19"/>
        <v>4.2618168380881044E-4</v>
      </c>
      <c r="M43" s="2">
        <f t="shared" si="19"/>
        <v>4.261816940253381E-4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3.9609999782219257E-4</v>
      </c>
      <c r="U43" s="2">
        <f>MAX(H43:S43)</f>
        <v>4.261816940253381E-4</v>
      </c>
      <c r="V43" s="2">
        <f>MAX(-T43,U43)</f>
        <v>4.261816940253381E-4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1.2080999999999999E-3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4.0200193565170972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5</v>
      </c>
      <c r="B64" s="1" t="str">
        <f>IF(B30="","",B30)</f>
        <v>Vx</v>
      </c>
      <c r="C64" s="14">
        <f>IF(C30="","",C30)</f>
        <v>4.2982999999999997E-3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1.7477844697072923E-2</v>
      </c>
      <c r="I64" s="2">
        <f t="shared" ref="I64:S64" si="30">IF(OR(I$23="",$C64=""),"",I$26*(COS(I$27+$F65)-COS(I$27))+$D65)</f>
        <v>-2.7920420056864893E-2</v>
      </c>
      <c r="J64" s="2">
        <f t="shared" si="30"/>
        <v>-2.8154334805038327E-2</v>
      </c>
      <c r="K64" s="2">
        <f t="shared" si="30"/>
        <v>-5.7529682586999684E-2</v>
      </c>
      <c r="L64" s="2">
        <f t="shared" si="30"/>
        <v>-5.7650918889406766E-2</v>
      </c>
      <c r="M64" s="2">
        <f t="shared" si="30"/>
        <v>1.7122693646495313E-2</v>
      </c>
      <c r="N64" s="2" t="str">
        <f t="shared" si="30"/>
        <v/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-0.61939999999999995</v>
      </c>
      <c r="D65" s="2">
        <f>(C30-C32*$B$19)*$F$62</f>
        <v>-1.2184083600948577E-2</v>
      </c>
      <c r="E65" s="2">
        <f>(C31+C32*$B$18)*$F$62</f>
        <v>-2.4155809166307711</v>
      </c>
      <c r="F65" s="2">
        <f>C32*$F$62</f>
        <v>5.3409977170686155E-3</v>
      </c>
      <c r="G65" s="1" t="str">
        <f>IF(G31="","","Vy")</f>
        <v>Vy</v>
      </c>
      <c r="H65" s="2">
        <f>IF(OR(H$23="",$C64=""),"",H$26*(SIN(H$27+$F65)-SIN(H$27))+$E65)</f>
        <v>-2.489920954001358</v>
      </c>
      <c r="I65" s="2">
        <f t="shared" ref="I65:S65" si="32">IF(OR(I$23="",$C64=""),"",I$26*(SIN(I$27+$F65)-SIN(I$27))+$E65)</f>
        <v>-2.4900421903037637</v>
      </c>
      <c r="J65" s="2">
        <f t="shared" si="32"/>
        <v>-2.4024502441902831</v>
      </c>
      <c r="K65" s="2">
        <f t="shared" si="32"/>
        <v>-2.4025286912094876</v>
      </c>
      <c r="L65" s="2">
        <f t="shared" si="32"/>
        <v>-2.357130426455547</v>
      </c>
      <c r="M65" s="2">
        <f t="shared" si="32"/>
        <v>-2.3569307431339368</v>
      </c>
      <c r="N65" s="2" t="str">
        <f t="shared" si="32"/>
        <v/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1.3286000000000001E-3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4</v>
      </c>
      <c r="B67" s="1" t="str">
        <f t="shared" si="31"/>
        <v>Vx</v>
      </c>
      <c r="C67" s="14">
        <f t="shared" si="31"/>
        <v>-1.848E-3</v>
      </c>
      <c r="D67" s="14"/>
      <c r="E67" s="14"/>
      <c r="F67" s="14"/>
      <c r="G67" s="1" t="str">
        <f>IF(G33="","","Vx")</f>
        <v>Vx</v>
      </c>
      <c r="H67" s="2">
        <f t="shared" ref="H67:S67" si="33">IF(OR(H$23="",$C67=""),"",H$26*(COS(H$27+$F68)-COS(H$27))+$D68)</f>
        <v>-7.4289865584926508E-3</v>
      </c>
      <c r="I67" s="2">
        <f t="shared" si="33"/>
        <v>-7.7380796157184234E-3</v>
      </c>
      <c r="J67" s="2">
        <f t="shared" si="33"/>
        <v>-7.7380904588439233E-3</v>
      </c>
      <c r="K67" s="2">
        <f t="shared" si="33"/>
        <v>-7.938091848812695E-3</v>
      </c>
      <c r="L67" s="2">
        <f t="shared" si="33"/>
        <v>-7.9380974687257091E-3</v>
      </c>
      <c r="M67" s="2">
        <f t="shared" si="33"/>
        <v>-7.429003021531674E-3</v>
      </c>
      <c r="N67" s="2" t="str">
        <f t="shared" si="33"/>
        <v/>
      </c>
      <c r="O67" s="2" t="str">
        <f t="shared" si="33"/>
        <v/>
      </c>
      <c r="P67" s="2" t="str">
        <f t="shared" si="33"/>
        <v/>
      </c>
      <c r="Q67" s="2" t="str">
        <f t="shared" si="33"/>
        <v/>
      </c>
      <c r="R67" s="2" t="str">
        <f t="shared" si="33"/>
        <v/>
      </c>
      <c r="S67" s="2" t="str">
        <f t="shared" si="33"/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-0.29189999999999999</v>
      </c>
      <c r="D68" s="2">
        <f>IF(C33="","",(C33-C35*$B$19)*$F$62)</f>
        <v>-7.6295952511375919E-3</v>
      </c>
      <c r="E68" s="2">
        <f>IF(C33="","",(C34+C35*$B$18)*$F$62)</f>
        <v>-1.1729369720047709</v>
      </c>
      <c r="F68" s="2">
        <f>IF(C33="","",C35*$F$62)</f>
        <v>3.6363889093246709E-5</v>
      </c>
      <c r="G68" s="1" t="str">
        <f>IF(G34="","","Vy")</f>
        <v>Vy</v>
      </c>
      <c r="H68" s="2">
        <f t="shared" ref="H68:S68" si="34">IF(OR(H$23="",$C67=""),"",H$26*(SIN(H$27+$F68)-SIN(H$27))+$E68)</f>
        <v>-1.1734436465199396</v>
      </c>
      <c r="I68" s="2">
        <f t="shared" si="34"/>
        <v>-1.1734436521398528</v>
      </c>
      <c r="J68" s="2">
        <f t="shared" si="34"/>
        <v>-1.1728472843588551</v>
      </c>
      <c r="K68" s="2">
        <f t="shared" si="34"/>
        <v>-1.1728472879952698</v>
      </c>
      <c r="L68" s="2">
        <f t="shared" si="34"/>
        <v>-1.1725381949380462</v>
      </c>
      <c r="M68" s="2">
        <f t="shared" si="34"/>
        <v>-1.1725381856817181</v>
      </c>
      <c r="N68" s="2" t="str">
        <f t="shared" si="34"/>
        <v/>
      </c>
      <c r="O68" s="2" t="str">
        <f t="shared" si="34"/>
        <v/>
      </c>
      <c r="P68" s="2" t="str">
        <f t="shared" si="34"/>
        <v/>
      </c>
      <c r="Q68" s="2" t="str">
        <f t="shared" si="34"/>
        <v/>
      </c>
      <c r="R68" s="2" t="str">
        <f t="shared" si="34"/>
        <v/>
      </c>
      <c r="S68" s="2" t="str">
        <f t="shared" si="34"/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9.0457000000000005E-6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3</v>
      </c>
      <c r="B70" s="1" t="str">
        <f t="shared" si="31"/>
        <v>Vx</v>
      </c>
      <c r="C70" s="14">
        <f t="shared" si="31"/>
        <v>9.5812999999999992E-3</v>
      </c>
      <c r="D70" s="14"/>
      <c r="E70" s="14"/>
      <c r="F70" s="14"/>
      <c r="G70" s="1" t="str">
        <f>IF(G36="","","Vx")</f>
        <v>Vx</v>
      </c>
      <c r="H70" s="2">
        <f t="shared" ref="H70:S70" si="35">IF(OR(H$23="",$C70=""),"",H$26*(COS(H$27+$F71)-COS(H$27))+$D71)</f>
        <v>3.8716414667215544E-2</v>
      </c>
      <c r="I70" s="2">
        <f t="shared" si="35"/>
        <v>-6.7741082123752936E-3</v>
      </c>
      <c r="J70" s="2">
        <f t="shared" si="35"/>
        <v>-7.0089746541405779E-3</v>
      </c>
      <c r="K70" s="2">
        <f t="shared" si="35"/>
        <v>-3.6444018870346484E-2</v>
      </c>
      <c r="L70" s="2">
        <f t="shared" si="35"/>
        <v>-3.6565748428578813E-2</v>
      </c>
      <c r="M70" s="2">
        <f t="shared" si="35"/>
        <v>3.8359818667218812E-2</v>
      </c>
      <c r="N70" s="2" t="str">
        <f t="shared" si="35"/>
        <v/>
      </c>
      <c r="O70" s="2" t="str">
        <f t="shared" si="35"/>
        <v/>
      </c>
      <c r="P70" s="2" t="str">
        <f t="shared" si="35"/>
        <v/>
      </c>
      <c r="Q70" s="2" t="str">
        <f t="shared" si="35"/>
        <v/>
      </c>
      <c r="R70" s="2" t="str">
        <f t="shared" si="35"/>
        <v/>
      </c>
      <c r="S70" s="2" t="str">
        <f t="shared" si="35"/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0.31231999999999999</v>
      </c>
      <c r="D71" s="2">
        <f>IF(C36="","",(C36-C38*$B$19)*$F$62)</f>
        <v>8.9938028514905382E-3</v>
      </c>
      <c r="E71" s="2">
        <f>IF(C36="","",(C37+C38*$B$18)*$F$62)</f>
        <v>1.3301027537318051</v>
      </c>
      <c r="F71" s="2">
        <f>IF(C36="","",C38*$F$62)</f>
        <v>5.3518517693312119E-3</v>
      </c>
      <c r="G71" s="1" t="str">
        <f>IF(G37="","","Vy")</f>
        <v>Vy</v>
      </c>
      <c r="H71" s="2">
        <f t="shared" ref="H71:S71" si="36">IF(OR(H$23="",$C70=""),"",H$26*(SIN(H$27+$F71)-SIN(H$27))+$E71)</f>
        <v>1.255611803134199</v>
      </c>
      <c r="I71" s="2">
        <f t="shared" si="36"/>
        <v>1.2554900735759671</v>
      </c>
      <c r="J71" s="2">
        <f t="shared" si="36"/>
        <v>1.3432600236024708</v>
      </c>
      <c r="K71" s="2">
        <f t="shared" si="36"/>
        <v>1.3431812574177324</v>
      </c>
      <c r="L71" s="2">
        <f t="shared" si="36"/>
        <v>1.3886717802973234</v>
      </c>
      <c r="M71" s="2">
        <f t="shared" si="36"/>
        <v>1.3888722760402936</v>
      </c>
      <c r="N71" s="2" t="str">
        <f t="shared" si="36"/>
        <v/>
      </c>
      <c r="O71" s="2" t="str">
        <f t="shared" si="36"/>
        <v/>
      </c>
      <c r="P71" s="2" t="str">
        <f t="shared" si="36"/>
        <v/>
      </c>
      <c r="Q71" s="2" t="str">
        <f t="shared" si="36"/>
        <v/>
      </c>
      <c r="R71" s="2" t="str">
        <f t="shared" si="36"/>
        <v/>
      </c>
      <c r="S71" s="2" t="str">
        <f t="shared" si="36"/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1.3313000000000001E-3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2</v>
      </c>
      <c r="B73" s="1" t="str">
        <f t="shared" si="31"/>
        <v>Vx</v>
      </c>
      <c r="C73" s="14">
        <f t="shared" si="31"/>
        <v>1.5092E-2</v>
      </c>
      <c r="D73" s="14"/>
      <c r="E73" s="14"/>
      <c r="F73" s="14"/>
      <c r="G73" s="1" t="str">
        <f>IF(G39="","","Vx")</f>
        <v>Vx</v>
      </c>
      <c r="H73" s="2">
        <f t="shared" ref="H73:S73" si="37">IF(OR(H$23="",$C73=""),"",H$26*(COS(H$27+$F74)-COS(H$27))+$D74)</f>
        <v>6.1112076542598315E-2</v>
      </c>
      <c r="I73" s="2">
        <f t="shared" si="37"/>
        <v>-6.6227237055234735E-3</v>
      </c>
      <c r="J73" s="2">
        <f t="shared" si="37"/>
        <v>-7.1434465183835873E-3</v>
      </c>
      <c r="K73" s="2">
        <f t="shared" si="37"/>
        <v>-5.0971846678932231E-2</v>
      </c>
      <c r="L73" s="2">
        <f t="shared" si="37"/>
        <v>-5.1241733502671485E-2</v>
      </c>
      <c r="M73" s="2">
        <f t="shared" si="37"/>
        <v>6.0321466905999196E-2</v>
      </c>
      <c r="N73" s="2" t="str">
        <f t="shared" si="37"/>
        <v/>
      </c>
      <c r="O73" s="2" t="str">
        <f t="shared" si="37"/>
        <v/>
      </c>
      <c r="P73" s="2" t="str">
        <f t="shared" si="37"/>
        <v/>
      </c>
      <c r="Q73" s="2" t="str">
        <f t="shared" si="37"/>
        <v/>
      </c>
      <c r="R73" s="2" t="str">
        <f t="shared" si="37"/>
        <v/>
      </c>
      <c r="S73" s="2" t="str">
        <f t="shared" si="37"/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0.56606000000000001</v>
      </c>
      <c r="D74" s="2">
        <f>IF(C39="","",(C39-C41*$B$19)*$F$62)</f>
        <v>1.6710200914079761E-2</v>
      </c>
      <c r="E74" s="2">
        <f>IF(C39="","",(C40+C41*$B$18)*$F$62)</f>
        <v>2.3866070267403354</v>
      </c>
      <c r="F74" s="2">
        <f>IF(C39="","",C41*$F$62)</f>
        <v>7.9688843704238434E-3</v>
      </c>
      <c r="G74" s="1" t="str">
        <f>IF(G40="","","Vy")</f>
        <v>Vy</v>
      </c>
      <c r="H74" s="2">
        <f t="shared" ref="H74:S74" si="38">IF(OR(H$23="",$C73=""),"",H$26*(SIN(H$27+$F74)-SIN(H$27))+$E74)</f>
        <v>2.2757484870005569</v>
      </c>
      <c r="I74" s="2">
        <f t="shared" si="38"/>
        <v>2.2754786001768186</v>
      </c>
      <c r="J74" s="2">
        <f t="shared" si="38"/>
        <v>2.4061669206555489</v>
      </c>
      <c r="K74" s="2">
        <f t="shared" si="38"/>
        <v>2.4059922880048936</v>
      </c>
      <c r="L74" s="2">
        <f t="shared" si="38"/>
        <v>2.4737270882530158</v>
      </c>
      <c r="M74" s="2">
        <f t="shared" si="38"/>
        <v>2.4741716077274081</v>
      </c>
      <c r="N74" s="2" t="str">
        <f t="shared" si="38"/>
        <v/>
      </c>
      <c r="O74" s="2" t="str">
        <f t="shared" si="38"/>
        <v/>
      </c>
      <c r="P74" s="2" t="str">
        <f t="shared" si="38"/>
        <v/>
      </c>
      <c r="Q74" s="2" t="str">
        <f t="shared" si="38"/>
        <v/>
      </c>
      <c r="R74" s="2" t="str">
        <f t="shared" si="38"/>
        <v/>
      </c>
      <c r="S74" s="2" t="str">
        <f t="shared" si="38"/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1.9823000000000002E-3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1</v>
      </c>
      <c r="B76" s="1" t="str">
        <f t="shared" si="31"/>
        <v>Vx</v>
      </c>
      <c r="C76" s="14">
        <f t="shared" si="31"/>
        <v>9.5750999999999996E-3</v>
      </c>
      <c r="D76" s="14"/>
      <c r="E76" s="14"/>
      <c r="F76" s="14"/>
      <c r="G76" s="1" t="str">
        <f>IF(G42="","","Vx")</f>
        <v>Vx</v>
      </c>
      <c r="H76" s="2">
        <f t="shared" ref="H76:S76" si="39">IF(OR(H$23="",$C76=""),"",H$26*(COS(H$27+$F77)-COS(H$27))+$D77)</f>
        <v>3.8656303023406793E-2</v>
      </c>
      <c r="I76" s="2">
        <f t="shared" si="39"/>
        <v>-2.6245104675367264E-3</v>
      </c>
      <c r="J76" s="2">
        <f t="shared" si="39"/>
        <v>-2.8179187444905534E-3</v>
      </c>
      <c r="K76" s="2">
        <f t="shared" si="39"/>
        <v>-2.9529033356278732E-2</v>
      </c>
      <c r="L76" s="2">
        <f t="shared" si="39"/>
        <v>-2.9629275451040715E-2</v>
      </c>
      <c r="M76" s="2">
        <f t="shared" si="39"/>
        <v>3.8362652651693058E-2</v>
      </c>
      <c r="N76" s="2" t="str">
        <f t="shared" si="39"/>
        <v/>
      </c>
      <c r="O76" s="2" t="str">
        <f t="shared" si="39"/>
        <v/>
      </c>
      <c r="P76" s="2" t="str">
        <f t="shared" si="39"/>
        <v/>
      </c>
      <c r="Q76" s="2" t="str">
        <f t="shared" si="39"/>
        <v/>
      </c>
      <c r="R76" s="2" t="str">
        <f t="shared" si="39"/>
        <v/>
      </c>
      <c r="S76" s="2" t="str">
        <f t="shared" si="39"/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0.39610000000000001</v>
      </c>
      <c r="D77" s="2">
        <f>IF(C42="","",(C42-C44*$B$19)*$F$62)</f>
        <v>1.1700989676152225E-2</v>
      </c>
      <c r="E77" s="2">
        <f>IF(C42="","",(C43+C44*$B$18)*$F$62)</f>
        <v>1.6599991551826192</v>
      </c>
      <c r="F77" s="2">
        <f>IF(C42="","",C44*$F$62)</f>
        <v>4.8565853846083045E-3</v>
      </c>
      <c r="G77" s="1" t="str">
        <f>IF(G43="","","Vy")</f>
        <v>Vy</v>
      </c>
      <c r="H77" s="2">
        <f t="shared" ref="H77:S77" si="40">IF(OR(H$23="",$C76=""),"",H$26*(SIN(H$27+$F77)-SIN(H$27))+$E77)</f>
        <v>1.5923949896284308</v>
      </c>
      <c r="I77" s="2">
        <f t="shared" si="40"/>
        <v>1.5922947475336684</v>
      </c>
      <c r="J77" s="2">
        <f t="shared" si="40"/>
        <v>1.6719424347397254</v>
      </c>
      <c r="K77" s="2">
        <f t="shared" si="40"/>
        <v>1.6718775722078199</v>
      </c>
      <c r="L77" s="2">
        <f t="shared" si="40"/>
        <v>1.7131583856987656</v>
      </c>
      <c r="M77" s="2">
        <f t="shared" si="40"/>
        <v>1.7133234903254329</v>
      </c>
      <c r="N77" s="2" t="str">
        <f t="shared" si="40"/>
        <v/>
      </c>
      <c r="O77" s="2" t="str">
        <f t="shared" si="40"/>
        <v/>
      </c>
      <c r="P77" s="2" t="str">
        <f t="shared" si="40"/>
        <v/>
      </c>
      <c r="Q77" s="2" t="str">
        <f t="shared" si="40"/>
        <v/>
      </c>
      <c r="R77" s="2" t="str">
        <f t="shared" si="40"/>
        <v/>
      </c>
      <c r="S77" s="2" t="str">
        <f t="shared" si="40"/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1.2080999999999999E-3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 t="str">
        <f>IF(A45="","",A45)</f>
        <v/>
      </c>
      <c r="B79" s="1" t="str">
        <f t="shared" si="31"/>
        <v/>
      </c>
      <c r="C79" s="14" t="str">
        <f t="shared" si="31"/>
        <v/>
      </c>
      <c r="D79" s="14"/>
      <c r="E79" s="14"/>
      <c r="F79" s="14"/>
      <c r="G79" s="1" t="str">
        <f>IF(G45="","","Vx")</f>
        <v/>
      </c>
      <c r="H79" s="2" t="str">
        <f t="shared" ref="H79:S79" si="41">IF(OR(H$23="",$C79=""),"",H$26*(COS(H$27+$F80)-COS(H$27))+$D80)</f>
        <v/>
      </c>
      <c r="I79" s="2" t="str">
        <f t="shared" si="41"/>
        <v/>
      </c>
      <c r="J79" s="2" t="str">
        <f t="shared" si="41"/>
        <v/>
      </c>
      <c r="K79" s="2" t="str">
        <f t="shared" si="41"/>
        <v/>
      </c>
      <c r="L79" s="2" t="str">
        <f t="shared" si="41"/>
        <v/>
      </c>
      <c r="M79" s="2" t="str">
        <f t="shared" si="41"/>
        <v/>
      </c>
      <c r="N79" s="2" t="str">
        <f t="shared" si="41"/>
        <v/>
      </c>
      <c r="O79" s="2" t="str">
        <f t="shared" si="41"/>
        <v/>
      </c>
      <c r="P79" s="2" t="str">
        <f t="shared" si="41"/>
        <v/>
      </c>
      <c r="Q79" s="2" t="str">
        <f t="shared" si="41"/>
        <v/>
      </c>
      <c r="R79" s="2" t="str">
        <f t="shared" si="41"/>
        <v/>
      </c>
      <c r="S79" s="2" t="str">
        <f t="shared" si="41"/>
        <v/>
      </c>
      <c r="T79" s="2"/>
      <c r="U79" s="2"/>
      <c r="V79" s="2"/>
    </row>
    <row r="80" spans="1:22" x14ac:dyDescent="0.2">
      <c r="B80" s="1" t="str">
        <f t="shared" si="31"/>
        <v/>
      </c>
      <c r="C80" s="14" t="str">
        <f t="shared" si="31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 t="shared" ref="H80:S80" si="42">IF(OR(H$23="",$C79=""),"",H$26*(SIN(H$27+$F80)-SIN(H$27))+$E80)</f>
        <v/>
      </c>
      <c r="I80" s="2" t="str">
        <f t="shared" si="42"/>
        <v/>
      </c>
      <c r="J80" s="2" t="str">
        <f t="shared" si="42"/>
        <v/>
      </c>
      <c r="K80" s="2" t="str">
        <f t="shared" si="42"/>
        <v/>
      </c>
      <c r="L80" s="2" t="str">
        <f t="shared" si="42"/>
        <v/>
      </c>
      <c r="M80" s="2" t="str">
        <f t="shared" si="42"/>
        <v/>
      </c>
      <c r="N80" s="2" t="str">
        <f t="shared" si="42"/>
        <v/>
      </c>
      <c r="O80" s="2" t="str">
        <f t="shared" si="42"/>
        <v/>
      </c>
      <c r="P80" s="2" t="str">
        <f t="shared" si="42"/>
        <v/>
      </c>
      <c r="Q80" s="2" t="str">
        <f t="shared" si="42"/>
        <v/>
      </c>
      <c r="R80" s="2" t="str">
        <f t="shared" si="42"/>
        <v/>
      </c>
      <c r="S80" s="2" t="str">
        <f t="shared" si="42"/>
        <v/>
      </c>
      <c r="T80" s="2"/>
      <c r="U80" s="2"/>
      <c r="V80" s="2"/>
    </row>
    <row r="81" spans="1:22" x14ac:dyDescent="0.2">
      <c r="A81" s="13"/>
      <c r="B81" s="13" t="str">
        <f t="shared" si="31"/>
        <v/>
      </c>
      <c r="C81" s="15" t="str">
        <f t="shared" si="31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 t="shared" ref="H82:S82" si="43">IF(OR(H$23="",$C82=""),"",H$26*(COS(H$27+$F83)-COS(H$27))+$D83)</f>
        <v/>
      </c>
      <c r="I82" s="2" t="str">
        <f t="shared" si="43"/>
        <v/>
      </c>
      <c r="J82" s="2" t="str">
        <f t="shared" si="43"/>
        <v/>
      </c>
      <c r="K82" s="2" t="str">
        <f t="shared" si="43"/>
        <v/>
      </c>
      <c r="L82" s="2" t="str">
        <f t="shared" si="43"/>
        <v/>
      </c>
      <c r="M82" s="2" t="str">
        <f t="shared" si="43"/>
        <v/>
      </c>
      <c r="N82" s="2" t="str">
        <f t="shared" si="43"/>
        <v/>
      </c>
      <c r="O82" s="2" t="str">
        <f t="shared" si="43"/>
        <v/>
      </c>
      <c r="P82" s="2" t="str">
        <f t="shared" si="43"/>
        <v/>
      </c>
      <c r="Q82" s="2" t="str">
        <f t="shared" si="43"/>
        <v/>
      </c>
      <c r="R82" s="2" t="str">
        <f t="shared" si="43"/>
        <v/>
      </c>
      <c r="S82" s="2" t="str">
        <f t="shared" si="43"/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 t="shared" ref="H83:S83" si="44">IF(OR(H$23="",$C82=""),"",H$26*(SIN(H$27+$F83)-SIN(H$27))+$E83)</f>
        <v/>
      </c>
      <c r="I83" s="2" t="str">
        <f t="shared" si="44"/>
        <v/>
      </c>
      <c r="J83" s="2" t="str">
        <f t="shared" si="44"/>
        <v/>
      </c>
      <c r="K83" s="2" t="str">
        <f t="shared" si="44"/>
        <v/>
      </c>
      <c r="L83" s="2" t="str">
        <f t="shared" si="44"/>
        <v/>
      </c>
      <c r="M83" s="2" t="str">
        <f t="shared" si="44"/>
        <v/>
      </c>
      <c r="N83" s="2" t="str">
        <f t="shared" si="44"/>
        <v/>
      </c>
      <c r="O83" s="2" t="str">
        <f t="shared" si="44"/>
        <v/>
      </c>
      <c r="P83" s="2" t="str">
        <f t="shared" si="44"/>
        <v/>
      </c>
      <c r="Q83" s="2" t="str">
        <f t="shared" si="44"/>
        <v/>
      </c>
      <c r="R83" s="2" t="str">
        <f t="shared" si="44"/>
        <v/>
      </c>
      <c r="S83" s="2" t="str">
        <f t="shared" si="44"/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 t="shared" ref="H85:S85" si="45">IF(OR(H$23="",$C85=""),"",H$26*(COS(H$27+$F86)-COS(H$27))+$D86)</f>
        <v/>
      </c>
      <c r="I85" s="2" t="str">
        <f t="shared" si="45"/>
        <v/>
      </c>
      <c r="J85" s="2" t="str">
        <f t="shared" si="45"/>
        <v/>
      </c>
      <c r="K85" s="2" t="str">
        <f t="shared" si="45"/>
        <v/>
      </c>
      <c r="L85" s="2" t="str">
        <f t="shared" si="45"/>
        <v/>
      </c>
      <c r="M85" s="2" t="str">
        <f t="shared" si="45"/>
        <v/>
      </c>
      <c r="N85" s="2" t="str">
        <f t="shared" si="45"/>
        <v/>
      </c>
      <c r="O85" s="2" t="str">
        <f t="shared" si="45"/>
        <v/>
      </c>
      <c r="P85" s="2" t="str">
        <f t="shared" si="45"/>
        <v/>
      </c>
      <c r="Q85" s="2" t="str">
        <f t="shared" si="45"/>
        <v/>
      </c>
      <c r="R85" s="2" t="str">
        <f t="shared" si="45"/>
        <v/>
      </c>
      <c r="S85" s="2" t="str">
        <f t="shared" si="45"/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 t="shared" ref="H86:S86" si="46">IF(OR(H$23="",$C85=""),"",H$26*(SIN(H$27+$F86)-SIN(H$27))+$E86)</f>
        <v/>
      </c>
      <c r="I86" s="2" t="str">
        <f t="shared" si="46"/>
        <v/>
      </c>
      <c r="J86" s="2" t="str">
        <f t="shared" si="46"/>
        <v/>
      </c>
      <c r="K86" s="2" t="str">
        <f t="shared" si="46"/>
        <v/>
      </c>
      <c r="L86" s="2" t="str">
        <f t="shared" si="46"/>
        <v/>
      </c>
      <c r="M86" s="2" t="str">
        <f t="shared" si="46"/>
        <v/>
      </c>
      <c r="N86" s="2" t="str">
        <f t="shared" si="46"/>
        <v/>
      </c>
      <c r="O86" s="2" t="str">
        <f t="shared" si="46"/>
        <v/>
      </c>
      <c r="P86" s="2" t="str">
        <f t="shared" si="46"/>
        <v/>
      </c>
      <c r="Q86" s="2" t="str">
        <f t="shared" si="46"/>
        <v/>
      </c>
      <c r="R86" s="2" t="str">
        <f t="shared" si="46"/>
        <v/>
      </c>
      <c r="S86" s="2" t="str">
        <f t="shared" si="46"/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 t="shared" ref="H88:S88" si="47">IF(OR(H$23="",$C88=""),"",H$26*(COS(H$27+$F89)-COS(H$27))+$D89)</f>
        <v/>
      </c>
      <c r="I88" s="2" t="str">
        <f t="shared" si="47"/>
        <v/>
      </c>
      <c r="J88" s="2" t="str">
        <f t="shared" si="47"/>
        <v/>
      </c>
      <c r="K88" s="2" t="str">
        <f t="shared" si="47"/>
        <v/>
      </c>
      <c r="L88" s="2" t="str">
        <f t="shared" si="47"/>
        <v/>
      </c>
      <c r="M88" s="2" t="str">
        <f t="shared" si="47"/>
        <v/>
      </c>
      <c r="N88" s="2" t="str">
        <f t="shared" si="47"/>
        <v/>
      </c>
      <c r="O88" s="2" t="str">
        <f t="shared" si="47"/>
        <v/>
      </c>
      <c r="P88" s="2" t="str">
        <f t="shared" si="47"/>
        <v/>
      </c>
      <c r="Q88" s="2" t="str">
        <f t="shared" si="47"/>
        <v/>
      </c>
      <c r="R88" s="2" t="str">
        <f t="shared" si="47"/>
        <v/>
      </c>
      <c r="S88" s="2" t="str">
        <f t="shared" si="47"/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 t="shared" ref="H89:S89" si="48">IF(OR(H$23="",$C88=""),"",H$26*(SIN(H$27+$F89)-SIN(H$27))+$E89)</f>
        <v/>
      </c>
      <c r="I89" s="2" t="str">
        <f t="shared" si="48"/>
        <v/>
      </c>
      <c r="J89" s="2" t="str">
        <f t="shared" si="48"/>
        <v/>
      </c>
      <c r="K89" s="2" t="str">
        <f t="shared" si="48"/>
        <v/>
      </c>
      <c r="L89" s="2" t="str">
        <f t="shared" si="48"/>
        <v/>
      </c>
      <c r="M89" s="2" t="str">
        <f t="shared" si="48"/>
        <v/>
      </c>
      <c r="N89" s="2" t="str">
        <f t="shared" si="48"/>
        <v/>
      </c>
      <c r="O89" s="2" t="str">
        <f t="shared" si="48"/>
        <v/>
      </c>
      <c r="P89" s="2" t="str">
        <f t="shared" si="48"/>
        <v/>
      </c>
      <c r="Q89" s="2" t="str">
        <f t="shared" si="48"/>
        <v/>
      </c>
      <c r="R89" s="2" t="str">
        <f t="shared" si="48"/>
        <v/>
      </c>
      <c r="S89" s="2" t="str">
        <f t="shared" si="48"/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 t="shared" ref="H91:S91" si="49">IF(OR(H$23="",$C91=""),"",H$26*(COS(H$27+$F92)-COS(H$27))+$D92)</f>
        <v/>
      </c>
      <c r="I91" s="2" t="str">
        <f t="shared" si="49"/>
        <v/>
      </c>
      <c r="J91" s="2" t="str">
        <f t="shared" si="49"/>
        <v/>
      </c>
      <c r="K91" s="2" t="str">
        <f t="shared" si="49"/>
        <v/>
      </c>
      <c r="L91" s="2" t="str">
        <f t="shared" si="49"/>
        <v/>
      </c>
      <c r="M91" s="2" t="str">
        <f t="shared" si="49"/>
        <v/>
      </c>
      <c r="N91" s="2" t="str">
        <f t="shared" si="49"/>
        <v/>
      </c>
      <c r="O91" s="2" t="str">
        <f t="shared" si="49"/>
        <v/>
      </c>
      <c r="P91" s="2" t="str">
        <f t="shared" si="49"/>
        <v/>
      </c>
      <c r="Q91" s="2" t="str">
        <f t="shared" si="49"/>
        <v/>
      </c>
      <c r="R91" s="2" t="str">
        <f t="shared" si="49"/>
        <v/>
      </c>
      <c r="S91" s="2" t="str">
        <f t="shared" si="49"/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 t="shared" ref="H92:S92" si="50">IF(OR(H$23="",$C91=""),"",H$26*(SIN(H$27+$F92)-SIN(H$27))+$E92)</f>
        <v/>
      </c>
      <c r="I92" s="2" t="str">
        <f t="shared" si="50"/>
        <v/>
      </c>
      <c r="J92" s="2" t="str">
        <f t="shared" si="50"/>
        <v/>
      </c>
      <c r="K92" s="2" t="str">
        <f t="shared" si="50"/>
        <v/>
      </c>
      <c r="L92" s="2" t="str">
        <f t="shared" si="50"/>
        <v/>
      </c>
      <c r="M92" s="2" t="str">
        <f t="shared" si="50"/>
        <v/>
      </c>
      <c r="N92" s="2" t="str">
        <f t="shared" si="50"/>
        <v/>
      </c>
      <c r="O92" s="2" t="str">
        <f t="shared" si="50"/>
        <v/>
      </c>
      <c r="P92" s="2" t="str">
        <f t="shared" si="50"/>
        <v/>
      </c>
      <c r="Q92" s="2" t="str">
        <f t="shared" si="50"/>
        <v/>
      </c>
      <c r="R92" s="2" t="str">
        <f t="shared" si="50"/>
        <v/>
      </c>
      <c r="S92" s="2" t="str">
        <f t="shared" si="50"/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1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1.7477844697072923E-2</v>
      </c>
      <c r="C98" s="3">
        <f>IF($B64="",0,Dati!C$8+I64*Dati!$B$13)</f>
        <v>-2.7920420056864893E-2</v>
      </c>
      <c r="D98" s="3">
        <f>IF($B64="",0,Dati!D$8+J64*Dati!$B$13)</f>
        <v>16.371845665194961</v>
      </c>
      <c r="E98" s="3">
        <f>IF(Dati!E$7="",$B98,IF($B64="",0,IF(Dati!E$7="","",Dati!E$8+K64*Dati!$B$13)))</f>
        <v>16.342470317412999</v>
      </c>
      <c r="F98" s="3">
        <f>IF(Dati!F$7="",$B98,IF($B64="",0,IF(Dati!F$7="","",Dati!F$8+L64*Dati!$B$13)))</f>
        <v>24.842349081110591</v>
      </c>
      <c r="G98" s="3">
        <f>IF(Dati!G$7="",$B98,IF($B64="",0,IF(Dati!G$7="","",Dati!G$8+M64*Dati!$B$13)))</f>
        <v>24.917122693646494</v>
      </c>
      <c r="H98" s="3">
        <f>IF(Dati!H$7="",$B98,IF($B64="",0,IF(Dati!H$7="","",Dati!H$8+N64*Dati!$B$13)))</f>
        <v>1.7477844697072923E-2</v>
      </c>
      <c r="I98" s="3">
        <f>IF(Dati!I$7="",$B98,IF($B64="",0,IF(Dati!I$7="","",Dati!I$8+O64*Dati!$B$13)))</f>
        <v>1.7477844697072923E-2</v>
      </c>
      <c r="J98" s="3">
        <f>IF(Dati!J$7="",$B98,IF($B64="",0,IF(Dati!J$7="","",Dati!J$8+P64*Dati!$B$13)))</f>
        <v>1.7477844697072923E-2</v>
      </c>
      <c r="K98" s="3">
        <f>IF(Dati!K$7="",$B98,IF($B64="",0,IF(Dati!K$7="","",Dati!K$8+Q64*Dati!$B$13)))</f>
        <v>1.7477844697072923E-2</v>
      </c>
      <c r="L98" s="3">
        <f>IF(Dati!L$7="",$B98,IF($B64="",0,IF(Dati!L$7="","",Dati!L$8+R64*Dati!$B$13)))</f>
        <v>1.7477844697072923E-2</v>
      </c>
      <c r="M98" s="3">
        <f>IF(Dati!M$7="",$B98,IF($B64="",0,IF(Dati!M$7="","",Dati!M$8+S64*Dati!$B$13)))</f>
        <v>1.7477844697072923E-2</v>
      </c>
      <c r="N98" s="3">
        <f>IF(Dati!N$7="",$B98,IF($B64="",0,IF(Dati!N$7="","",Dati!N$8+T64*Dati!$B$13)))</f>
        <v>1.7477844697072923E-2</v>
      </c>
      <c r="P98" s="3">
        <f>IF($B64="",0,$P$128+$D65*Dati!$B$13)</f>
        <v>13.174368547977998</v>
      </c>
      <c r="Q98" s="3">
        <f>IF($B64="",0,$Q$128+$D65*Dati!$B$13)</f>
        <v>14.668368547977998</v>
      </c>
      <c r="R98" s="3"/>
      <c r="S98" s="3">
        <f>IF($B64="",0,$S$128+$D65*Dati!$B$13)</f>
        <v>13.921368547977998</v>
      </c>
      <c r="T98" s="3">
        <f>IF($B64="",0,$T$128+$D65*Dati!$B$13)</f>
        <v>13.921368547977998</v>
      </c>
    </row>
    <row r="99" spans="1:20" x14ac:dyDescent="0.2">
      <c r="A99" s="6" t="s">
        <v>8</v>
      </c>
      <c r="B99" s="3">
        <f>IF($B65="",0,Dati!B$9+H65*Dati!$B$13)</f>
        <v>-2.489920954001358</v>
      </c>
      <c r="C99" s="3">
        <f>IF($B65="",0,Dati!C$9+I65*Dati!$B$13)</f>
        <v>6.0099578096962363</v>
      </c>
      <c r="D99" s="3">
        <f>IF($B65="",0,Dati!D$9+J65*Dati!$B$13)</f>
        <v>6.0975497558097169</v>
      </c>
      <c r="E99" s="3">
        <f>IF(Dati!E$7="",$B99,IF($B65="",0,IF(Dati!E$7="","",Dati!E$9+K65*Dati!$B$13)))</f>
        <v>11.597471308790512</v>
      </c>
      <c r="F99" s="3">
        <f>IF(Dati!F$7="",$B99,IF($B65="",0,IF(Dati!F$7="","",Dati!F$9+L65*Dati!$B$13)))</f>
        <v>11.642869573544452</v>
      </c>
      <c r="G99" s="3">
        <f>IF(Dati!G$7="",$B99,IF($B65="",0,IF(Dati!G$7="","",Dati!G$9+M65*Dati!$B$13)))</f>
        <v>-2.3569307431339368</v>
      </c>
      <c r="H99" s="3">
        <f>IF(Dati!H$7="",$B99,IF($B65="",0,IF(Dati!H$7="","",Dati!H$9+N65*Dati!$B$13)))</f>
        <v>-2.489920954001358</v>
      </c>
      <c r="I99" s="3">
        <f>IF(Dati!I$7="",$B99,IF($B65="",0,IF(Dati!I$7="","",Dati!I$9+O65*Dati!$B$13)))</f>
        <v>-2.489920954001358</v>
      </c>
      <c r="J99" s="3">
        <f>IF(Dati!J$7="",$B99,IF($B65="",0,IF(Dati!J$7="","",Dati!J$9+P65*Dati!$B$13)))</f>
        <v>-2.489920954001358</v>
      </c>
      <c r="K99" s="3">
        <f>IF(Dati!K$7="",$B99,IF($B65="",0,IF(Dati!K$7="","",Dati!K$9+Q65*Dati!$B$13)))</f>
        <v>-2.489920954001358</v>
      </c>
      <c r="L99" s="3">
        <f>IF(Dati!L$7="",$B99,IF($B65="",0,IF(Dati!L$7="","",Dati!L$9+R65*Dati!$B$13)))</f>
        <v>-2.489920954001358</v>
      </c>
      <c r="M99" s="3">
        <f>IF(Dati!M$7="",$B99,IF($B65="",0,IF(Dati!M$7="","",Dati!M$9+S65*Dati!$B$13)))</f>
        <v>-2.489920954001358</v>
      </c>
      <c r="N99" s="3">
        <f>IF(Dati!N$7="",$B99,IF($B65="",0,IF(Dati!N$7="","",Dati!N$9+T65*Dati!$B$13)))</f>
        <v>-2.489920954001358</v>
      </c>
      <c r="P99" s="3">
        <f>IF($B65="",0,$P$129+$E65*Dati!$B$13)</f>
        <v>3.100866451790282</v>
      </c>
      <c r="Q99" s="3">
        <f>IF($B65="",0,$Q$129+$E65*Dati!$B$13)</f>
        <v>3.100866451790282</v>
      </c>
      <c r="R99" s="3"/>
      <c r="S99" s="3">
        <f>IF($B65="",0,$S$129+$E65*Dati!$B$13)</f>
        <v>2.3538664517902821</v>
      </c>
      <c r="T99" s="3">
        <f>IF($B65="",0,$T$129+$E65*Dati!$B$13)</f>
        <v>3.8478664517902819</v>
      </c>
    </row>
    <row r="101" spans="1:20" x14ac:dyDescent="0.2">
      <c r="A101" s="6" t="s">
        <v>7</v>
      </c>
      <c r="B101" s="3">
        <f>IF($B67="",0,Dati!B$8+H67*Dati!$B$13)</f>
        <v>-7.4289865584926508E-3</v>
      </c>
      <c r="C101" s="3">
        <f>IF($B67="",0,Dati!C$8+I67*Dati!$B$13)</f>
        <v>-7.7380796157184234E-3</v>
      </c>
      <c r="D101" s="3">
        <f>IF($B67="",0,Dati!D$8+J67*Dati!$B$13)</f>
        <v>16.392261909541155</v>
      </c>
      <c r="E101" s="3">
        <f>IF(Dati!E$7="",$B101,IF($B67="",0,IF(Dati!E$7="","",Dati!E$8+K67*Dati!$B$13)))</f>
        <v>16.392061908151184</v>
      </c>
      <c r="F101" s="3">
        <f>IF(Dati!F$7="",$B101,IF($B67="",0,IF(Dati!F$7="","",Dati!F$8+L67*Dati!$B$13)))</f>
        <v>24.892061902531275</v>
      </c>
      <c r="G101" s="3">
        <f>IF(Dati!G$7="",$B101,IF($B67="",0,IF(Dati!G$7="","",Dati!G$8+M67*Dati!$B$13)))</f>
        <v>24.892570996978467</v>
      </c>
      <c r="H101" s="3">
        <f>IF(Dati!H$7="",$B101,IF($B67="",0,IF(Dati!H$7="","",Dati!H$8+N67*Dati!$B$13)))</f>
        <v>-7.4289865584926508E-3</v>
      </c>
      <c r="I101" s="3">
        <f>IF(Dati!I$7="",$B101,IF($B67="",0,IF(Dati!I$7="","",Dati!I$8+O67*Dati!$B$13)))</f>
        <v>-7.4289865584926508E-3</v>
      </c>
      <c r="J101" s="3">
        <f>IF(Dati!J$7="",$B101,IF($B67="",0,IF(Dati!J$7="","",Dati!J$8+P67*Dati!$B$13)))</f>
        <v>-7.4289865584926508E-3</v>
      </c>
      <c r="K101" s="3">
        <f>IF(Dati!K$7="",$B101,IF($B67="",0,IF(Dati!K$7="","",Dati!K$8+Q67*Dati!$B$13)))</f>
        <v>-7.4289865584926508E-3</v>
      </c>
      <c r="L101" s="3">
        <f>IF(Dati!L$7="",$B101,IF($B67="",0,IF(Dati!L$7="","",Dati!L$8+R67*Dati!$B$13)))</f>
        <v>-7.4289865584926508E-3</v>
      </c>
      <c r="M101" s="3">
        <f>IF(Dati!M$7="",$B101,IF($B67="",0,IF(Dati!M$7="","",Dati!M$8+S67*Dati!$B$13)))</f>
        <v>-7.4289865584926508E-3</v>
      </c>
      <c r="N101" s="3">
        <f>IF(Dati!N$7="",$B101,IF($B67="",0,IF(Dati!N$7="","",Dati!N$8+T67*Dati!$B$13)))</f>
        <v>-7.4289865584926508E-3</v>
      </c>
      <c r="P101" s="3">
        <f>IF($B67="",0,$P$128+$D68*Dati!$B$13)</f>
        <v>13.178923036327809</v>
      </c>
      <c r="Q101" s="3">
        <f>IF($B67="",0,$Q$128+$D68*Dati!$B$13)</f>
        <v>14.672923036327809</v>
      </c>
      <c r="R101" s="3"/>
      <c r="S101" s="3">
        <f>IF($B67="",0,$S$128+$D68*Dati!$B$13)</f>
        <v>13.925923036327809</v>
      </c>
      <c r="T101" s="3">
        <f>IF($B67="",0,$T$128+$D68*Dati!$B$13)</f>
        <v>13.925923036327809</v>
      </c>
    </row>
    <row r="102" spans="1:20" x14ac:dyDescent="0.2">
      <c r="A102" s="6" t="s">
        <v>8</v>
      </c>
      <c r="B102" s="3">
        <f>IF($B68="",0,Dati!B$9+H68*Dati!$B$13)</f>
        <v>-1.1734436465199396</v>
      </c>
      <c r="C102" s="3">
        <f>IF($B68="",0,Dati!C$9+I68*Dati!$B$13)</f>
        <v>7.326556347860147</v>
      </c>
      <c r="D102" s="3">
        <f>IF($B68="",0,Dati!D$9+J68*Dati!$B$13)</f>
        <v>7.3271527156411445</v>
      </c>
      <c r="E102" s="3">
        <f>IF(Dati!E$7="",$B102,IF($B68="",0,IF(Dati!E$7="","",Dati!E$9+K68*Dati!$B$13)))</f>
        <v>12.827152712004731</v>
      </c>
      <c r="F102" s="3">
        <f>IF(Dati!F$7="",$B102,IF($B68="",0,IF(Dati!F$7="","",Dati!F$9+L68*Dati!$B$13)))</f>
        <v>12.827461805061954</v>
      </c>
      <c r="G102" s="3">
        <f>IF(Dati!G$7="",$B102,IF($B68="",0,IF(Dati!G$7="","",Dati!G$9+M68*Dati!$B$13)))</f>
        <v>-1.1725381856817181</v>
      </c>
      <c r="H102" s="3">
        <f>IF(Dati!H$7="",$B102,IF($B68="",0,IF(Dati!H$7="","",Dati!H$9+N68*Dati!$B$13)))</f>
        <v>-1.1734436465199396</v>
      </c>
      <c r="I102" s="3">
        <f>IF(Dati!I$7="",$B102,IF($B68="",0,IF(Dati!I$7="","",Dati!I$9+O68*Dati!$B$13)))</f>
        <v>-1.1734436465199396</v>
      </c>
      <c r="J102" s="3">
        <f>IF(Dati!J$7="",$B102,IF($B68="",0,IF(Dati!J$7="","",Dati!J$9+P68*Dati!$B$13)))</f>
        <v>-1.1734436465199396</v>
      </c>
      <c r="K102" s="3">
        <f>IF(Dati!K$7="",$B102,IF($B68="",0,IF(Dati!K$7="","",Dati!K$9+Q68*Dati!$B$13)))</f>
        <v>-1.1734436465199396</v>
      </c>
      <c r="L102" s="3">
        <f>IF(Dati!L$7="",$B102,IF($B68="",0,IF(Dati!L$7="","",Dati!L$9+R68*Dati!$B$13)))</f>
        <v>-1.1734436465199396</v>
      </c>
      <c r="M102" s="3">
        <f>IF(Dati!M$7="",$B102,IF($B68="",0,IF(Dati!M$7="","",Dati!M$9+S68*Dati!$B$13)))</f>
        <v>-1.1734436465199396</v>
      </c>
      <c r="N102" s="3">
        <f>IF(Dati!N$7="",$B102,IF($B68="",0,IF(Dati!N$7="","",Dati!N$9+T68*Dati!$B$13)))</f>
        <v>-1.1734436465199396</v>
      </c>
      <c r="P102" s="3">
        <f>IF($B68="",0,$P$129+$E68*Dati!$B$13)</f>
        <v>4.3435103964162822</v>
      </c>
      <c r="Q102" s="3">
        <f>IF($B68="",0,$Q$129+$E68*Dati!$B$13)</f>
        <v>4.3435103964162822</v>
      </c>
      <c r="R102" s="3"/>
      <c r="S102" s="3">
        <f>IF($B68="",0,$S$129+$E68*Dati!$B$13)</f>
        <v>3.5965103964162823</v>
      </c>
      <c r="T102" s="3">
        <f>IF($B68="",0,$T$129+$E68*Dati!$B$13)</f>
        <v>5.0905103964162821</v>
      </c>
    </row>
    <row r="104" spans="1:20" x14ac:dyDescent="0.2">
      <c r="A104" s="6" t="s">
        <v>7</v>
      </c>
      <c r="B104" s="3">
        <f>IF($B70="",0,Dati!B$8+H70*Dati!$B$13)</f>
        <v>3.8716414667215544E-2</v>
      </c>
      <c r="C104" s="3">
        <f>IF($B70="",0,Dati!C$8+I70*Dati!$B$13)</f>
        <v>-6.7741082123752936E-3</v>
      </c>
      <c r="D104" s="3">
        <f>IF($B70="",0,Dati!D$8+J70*Dati!$B$13)</f>
        <v>16.392991025345857</v>
      </c>
      <c r="E104" s="3">
        <f>IF(Dati!E$7="",$B104,IF($B70="",0,IF(Dati!E$7="","",Dati!E$8+K70*Dati!$B$13)))</f>
        <v>16.363555981129654</v>
      </c>
      <c r="F104" s="3">
        <f>IF(Dati!F$7="",$B104,IF($B70="",0,IF(Dati!F$7="","",Dati!F$8+L70*Dati!$B$13)))</f>
        <v>24.86343425157142</v>
      </c>
      <c r="G104" s="3">
        <f>IF(Dati!G$7="",$B104,IF($B70="",0,IF(Dati!G$7="","",Dati!G$8+M70*Dati!$B$13)))</f>
        <v>24.938359818667216</v>
      </c>
      <c r="H104" s="3">
        <f>IF(Dati!H$7="",$B104,IF($B70="",0,IF(Dati!H$7="","",Dati!H$8+N70*Dati!$B$13)))</f>
        <v>3.8716414667215544E-2</v>
      </c>
      <c r="I104" s="3">
        <f>IF(Dati!I$7="",$B104,IF($B70="",0,IF(Dati!I$7="","",Dati!I$8+O70*Dati!$B$13)))</f>
        <v>3.8716414667215544E-2</v>
      </c>
      <c r="J104" s="3">
        <f>IF(Dati!J$7="",$B104,IF($B70="",0,IF(Dati!J$7="","",Dati!J$8+P70*Dati!$B$13)))</f>
        <v>3.8716414667215544E-2</v>
      </c>
      <c r="K104" s="3">
        <f>IF(Dati!K$7="",$B104,IF($B70="",0,IF(Dati!K$7="","",Dati!K$8+Q70*Dati!$B$13)))</f>
        <v>3.8716414667215544E-2</v>
      </c>
      <c r="L104" s="3">
        <f>IF(Dati!L$7="",$B104,IF($B70="",0,IF(Dati!L$7="","",Dati!L$8+R70*Dati!$B$13)))</f>
        <v>3.8716414667215544E-2</v>
      </c>
      <c r="M104" s="3">
        <f>IF(Dati!M$7="",$B104,IF($B70="",0,IF(Dati!M$7="","",Dati!M$8+S70*Dati!$B$13)))</f>
        <v>3.8716414667215544E-2</v>
      </c>
      <c r="N104" s="3">
        <f>IF(Dati!N$7="",$B104,IF($B70="",0,IF(Dati!N$7="","",Dati!N$8+T70*Dati!$B$13)))</f>
        <v>3.8716414667215544E-2</v>
      </c>
      <c r="P104" s="3">
        <f>IF($B70="",0,$P$128+$D71*Dati!$B$13)</f>
        <v>13.195546434430437</v>
      </c>
      <c r="Q104" s="3">
        <f>IF($B70="",0,$Q$128+$D71*Dati!$B$13)</f>
        <v>14.689546434430437</v>
      </c>
      <c r="R104" s="3"/>
      <c r="S104" s="3">
        <f>IF($B70="",0,$S$128+$D71*Dati!$B$13)</f>
        <v>13.942546434430437</v>
      </c>
      <c r="T104" s="3">
        <f>IF($B70="",0,$T$128+$D71*Dati!$B$13)</f>
        <v>13.942546434430437</v>
      </c>
    </row>
    <row r="105" spans="1:20" x14ac:dyDescent="0.2">
      <c r="A105" s="6" t="s">
        <v>8</v>
      </c>
      <c r="B105" s="3">
        <f>IF($B71="",0,Dati!B$9+H71*Dati!$B$13)</f>
        <v>1.255611803134199</v>
      </c>
      <c r="C105" s="3">
        <f>IF($B71="",0,Dati!C$9+I71*Dati!$B$13)</f>
        <v>9.7554900735759666</v>
      </c>
      <c r="D105" s="3">
        <f>IF($B71="",0,Dati!D$9+J71*Dati!$B$13)</f>
        <v>9.8432600236024701</v>
      </c>
      <c r="E105" s="3">
        <f>IF(Dati!E$7="",$B105,IF($B71="",0,IF(Dati!E$7="","",Dati!E$9+K71*Dati!$B$13)))</f>
        <v>15.343181257417733</v>
      </c>
      <c r="F105" s="3">
        <f>IF(Dati!F$7="",$B105,IF($B71="",0,IF(Dati!F$7="","",Dati!F$9+L71*Dati!$B$13)))</f>
        <v>15.388671780297324</v>
      </c>
      <c r="G105" s="3">
        <f>IF(Dati!G$7="",$B105,IF($B71="",0,IF(Dati!G$7="","",Dati!G$9+M71*Dati!$B$13)))</f>
        <v>1.3888722760402936</v>
      </c>
      <c r="H105" s="3">
        <f>IF(Dati!H$7="",$B105,IF($B71="",0,IF(Dati!H$7="","",Dati!H$9+N71*Dati!$B$13)))</f>
        <v>1.255611803134199</v>
      </c>
      <c r="I105" s="3">
        <f>IF(Dati!I$7="",$B105,IF($B71="",0,IF(Dati!I$7="","",Dati!I$9+O71*Dati!$B$13)))</f>
        <v>1.255611803134199</v>
      </c>
      <c r="J105" s="3">
        <f>IF(Dati!J$7="",$B105,IF($B71="",0,IF(Dati!J$7="","",Dati!J$9+P71*Dati!$B$13)))</f>
        <v>1.255611803134199</v>
      </c>
      <c r="K105" s="3">
        <f>IF(Dati!K$7="",$B105,IF($B71="",0,IF(Dati!K$7="","",Dati!K$9+Q71*Dati!$B$13)))</f>
        <v>1.255611803134199</v>
      </c>
      <c r="L105" s="3">
        <f>IF(Dati!L$7="",$B105,IF($B71="",0,IF(Dati!L$7="","",Dati!L$9+R71*Dati!$B$13)))</f>
        <v>1.255611803134199</v>
      </c>
      <c r="M105" s="3">
        <f>IF(Dati!M$7="",$B105,IF($B71="",0,IF(Dati!M$7="","",Dati!M$9+S71*Dati!$B$13)))</f>
        <v>1.255611803134199</v>
      </c>
      <c r="N105" s="3">
        <f>IF(Dati!N$7="",$B105,IF($B71="",0,IF(Dati!N$7="","",Dati!N$9+T71*Dati!$B$13)))</f>
        <v>1.255611803134199</v>
      </c>
      <c r="P105" s="3">
        <f>IF($B71="",0,$P$129+$E71*Dati!$B$13)</f>
        <v>6.8465501221528582</v>
      </c>
      <c r="Q105" s="3">
        <f>IF($B71="",0,$Q$129+$E71*Dati!$B$13)</f>
        <v>6.8465501221528582</v>
      </c>
      <c r="R105" s="3"/>
      <c r="S105" s="3">
        <f>IF($B71="",0,$S$129+$E71*Dati!$B$13)</f>
        <v>6.0995501221528583</v>
      </c>
      <c r="T105" s="3">
        <f>IF($B71="",0,$T$129+$E71*Dati!$B$13)</f>
        <v>7.5935501221528581</v>
      </c>
    </row>
    <row r="107" spans="1:20" x14ac:dyDescent="0.2">
      <c r="A107" s="6" t="s">
        <v>7</v>
      </c>
      <c r="B107" s="3">
        <f>IF($B73="",0,Dati!B$8+H73*Dati!$B$13)</f>
        <v>6.1112076542598315E-2</v>
      </c>
      <c r="C107" s="3">
        <f>IF($B73="",0,Dati!C$8+I73*Dati!$B$13)</f>
        <v>-6.6227237055234735E-3</v>
      </c>
      <c r="D107" s="3">
        <f>IF($B73="",0,Dati!D$8+J73*Dati!$B$13)</f>
        <v>16.392856553481614</v>
      </c>
      <c r="E107" s="3">
        <f>IF(Dati!E$7="",$B107,IF($B73="",0,IF(Dati!E$7="","",Dati!E$8+K73*Dati!$B$13)))</f>
        <v>16.349028153321065</v>
      </c>
      <c r="F107" s="3">
        <f>IF(Dati!F$7="",$B107,IF($B73="",0,IF(Dati!F$7="","",Dati!F$8+L73*Dati!$B$13)))</f>
        <v>24.848758266497327</v>
      </c>
      <c r="G107" s="3">
        <f>IF(Dati!G$7="",$B107,IF($B73="",0,IF(Dati!G$7="","",Dati!G$8+M73*Dati!$B$13)))</f>
        <v>24.960321466905999</v>
      </c>
      <c r="H107" s="3">
        <f>IF(Dati!H$7="",$B107,IF($B73="",0,IF(Dati!H$7="","",Dati!H$8+N73*Dati!$B$13)))</f>
        <v>6.1112076542598315E-2</v>
      </c>
      <c r="I107" s="3">
        <f>IF(Dati!I$7="",$B107,IF($B73="",0,IF(Dati!I$7="","",Dati!I$8+O73*Dati!$B$13)))</f>
        <v>6.1112076542598315E-2</v>
      </c>
      <c r="J107" s="3">
        <f>IF(Dati!J$7="",$B107,IF($B73="",0,IF(Dati!J$7="","",Dati!J$8+P73*Dati!$B$13)))</f>
        <v>6.1112076542598315E-2</v>
      </c>
      <c r="K107" s="3">
        <f>IF(Dati!K$7="",$B107,IF($B73="",0,IF(Dati!K$7="","",Dati!K$8+Q73*Dati!$B$13)))</f>
        <v>6.1112076542598315E-2</v>
      </c>
      <c r="L107" s="3">
        <f>IF(Dati!L$7="",$B107,IF($B73="",0,IF(Dati!L$7="","",Dati!L$8+R73*Dati!$B$13)))</f>
        <v>6.1112076542598315E-2</v>
      </c>
      <c r="M107" s="3">
        <f>IF(Dati!M$7="",$B107,IF($B73="",0,IF(Dati!M$7="","",Dati!M$8+S73*Dati!$B$13)))</f>
        <v>6.1112076542598315E-2</v>
      </c>
      <c r="N107" s="3">
        <f>IF(Dati!N$7="",$B107,IF($B73="",0,IF(Dati!N$7="","",Dati!N$8+T73*Dati!$B$13)))</f>
        <v>6.1112076542598315E-2</v>
      </c>
      <c r="P107" s="3">
        <f>IF($B73="",0,$P$128+$D74*Dati!$B$13)</f>
        <v>13.203262832493026</v>
      </c>
      <c r="Q107" s="3">
        <f>IF($B73="",0,$Q$128+$D74*Dati!$B$13)</f>
        <v>14.697262832493026</v>
      </c>
      <c r="R107" s="3"/>
      <c r="S107" s="3">
        <f>IF($B73="",0,$S$128+$D74*Dati!$B$13)</f>
        <v>13.950262832493026</v>
      </c>
      <c r="T107" s="3">
        <f>IF($B73="",0,$T$128+$D74*Dati!$B$13)</f>
        <v>13.950262832493026</v>
      </c>
    </row>
    <row r="108" spans="1:20" x14ac:dyDescent="0.2">
      <c r="A108" s="6" t="s">
        <v>8</v>
      </c>
      <c r="B108" s="3">
        <f>IF($B74="",0,Dati!B$9+H74*Dati!$B$13)</f>
        <v>2.2757484870005569</v>
      </c>
      <c r="C108" s="3">
        <f>IF($B74="",0,Dati!C$9+I74*Dati!$B$13)</f>
        <v>10.775478600176818</v>
      </c>
      <c r="D108" s="3">
        <f>IF($B74="",0,Dati!D$9+J74*Dati!$B$13)</f>
        <v>10.906166920655549</v>
      </c>
      <c r="E108" s="3">
        <f>IF(Dati!E$7="",$B108,IF($B74="",0,IF(Dati!E$7="","",Dati!E$9+K74*Dati!$B$13)))</f>
        <v>16.405992288004892</v>
      </c>
      <c r="F108" s="3">
        <f>IF(Dati!F$7="",$B108,IF($B74="",0,IF(Dati!F$7="","",Dati!F$9+L74*Dati!$B$13)))</f>
        <v>16.473727088253014</v>
      </c>
      <c r="G108" s="3">
        <f>IF(Dati!G$7="",$B108,IF($B74="",0,IF(Dati!G$7="","",Dati!G$9+M74*Dati!$B$13)))</f>
        <v>2.4741716077274081</v>
      </c>
      <c r="H108" s="3">
        <f>IF(Dati!H$7="",$B108,IF($B74="",0,IF(Dati!H$7="","",Dati!H$9+N74*Dati!$B$13)))</f>
        <v>2.2757484870005569</v>
      </c>
      <c r="I108" s="3">
        <f>IF(Dati!I$7="",$B108,IF($B74="",0,IF(Dati!I$7="","",Dati!I$9+O74*Dati!$B$13)))</f>
        <v>2.2757484870005569</v>
      </c>
      <c r="J108" s="3">
        <f>IF(Dati!J$7="",$B108,IF($B74="",0,IF(Dati!J$7="","",Dati!J$9+P74*Dati!$B$13)))</f>
        <v>2.2757484870005569</v>
      </c>
      <c r="K108" s="3">
        <f>IF(Dati!K$7="",$B108,IF($B74="",0,IF(Dati!K$7="","",Dati!K$9+Q74*Dati!$B$13)))</f>
        <v>2.2757484870005569</v>
      </c>
      <c r="L108" s="3">
        <f>IF(Dati!L$7="",$B108,IF($B74="",0,IF(Dati!L$7="","",Dati!L$9+R74*Dati!$B$13)))</f>
        <v>2.2757484870005569</v>
      </c>
      <c r="M108" s="3">
        <f>IF(Dati!M$7="",$B108,IF($B74="",0,IF(Dati!M$7="","",Dati!M$9+S74*Dati!$B$13)))</f>
        <v>2.2757484870005569</v>
      </c>
      <c r="N108" s="3">
        <f>IF(Dati!N$7="",$B108,IF($B74="",0,IF(Dati!N$7="","",Dati!N$9+T74*Dati!$B$13)))</f>
        <v>2.2757484870005569</v>
      </c>
      <c r="P108" s="3">
        <f>IF($B74="",0,$P$129+$E74*Dati!$B$13)</f>
        <v>7.903054395161389</v>
      </c>
      <c r="Q108" s="3">
        <f>IF($B74="",0,$Q$129+$E74*Dati!$B$13)</f>
        <v>7.903054395161389</v>
      </c>
      <c r="R108" s="3"/>
      <c r="S108" s="3">
        <f>IF($B74="",0,$S$129+$E74*Dati!$B$13)</f>
        <v>7.1560543951613891</v>
      </c>
      <c r="T108" s="3">
        <f>IF($B74="",0,$T$129+$E74*Dati!$B$13)</f>
        <v>8.6500543951613889</v>
      </c>
    </row>
    <row r="110" spans="1:20" x14ac:dyDescent="0.2">
      <c r="A110" s="6" t="s">
        <v>7</v>
      </c>
      <c r="B110" s="3">
        <f>IF($B76="",0,Dati!B$8+H76*Dati!$B$13)</f>
        <v>3.8656303023406793E-2</v>
      </c>
      <c r="C110" s="3">
        <f>IF($B76="",0,Dati!C$8+I76*Dati!$B$13)</f>
        <v>-2.6245104675367264E-3</v>
      </c>
      <c r="D110" s="3">
        <f>IF($B76="",0,Dati!D$8+J76*Dati!$B$13)</f>
        <v>16.397182081255508</v>
      </c>
      <c r="E110" s="3">
        <f>IF(Dati!E$7="",$B110,IF($B76="",0,IF(Dati!E$7="","",Dati!E$8+K76*Dati!$B$13)))</f>
        <v>16.370470966643719</v>
      </c>
      <c r="F110" s="3">
        <f>IF(Dati!F$7="",$B110,IF($B76="",0,IF(Dati!F$7="","",Dati!F$8+L76*Dati!$B$13)))</f>
        <v>24.870370724548959</v>
      </c>
      <c r="G110" s="3">
        <f>IF(Dati!G$7="",$B110,IF($B76="",0,IF(Dati!G$7="","",Dati!G$8+M76*Dati!$B$13)))</f>
        <v>24.938362652651691</v>
      </c>
      <c r="H110" s="3">
        <f>IF(Dati!H$7="",$B110,IF($B76="",0,IF(Dati!H$7="","",Dati!H$8+N76*Dati!$B$13)))</f>
        <v>3.8656303023406793E-2</v>
      </c>
      <c r="I110" s="3">
        <f>IF(Dati!I$7="",$B110,IF($B76="",0,IF(Dati!I$7="","",Dati!I$8+O76*Dati!$B$13)))</f>
        <v>3.8656303023406793E-2</v>
      </c>
      <c r="J110" s="3">
        <f>IF(Dati!J$7="",$B110,IF($B76="",0,IF(Dati!J$7="","",Dati!J$8+P76*Dati!$B$13)))</f>
        <v>3.8656303023406793E-2</v>
      </c>
      <c r="K110" s="3">
        <f>IF(Dati!K$7="",$B110,IF($B76="",0,IF(Dati!K$7="","",Dati!K$8+Q76*Dati!$B$13)))</f>
        <v>3.8656303023406793E-2</v>
      </c>
      <c r="L110" s="3">
        <f>IF(Dati!L$7="",$B110,IF($B76="",0,IF(Dati!L$7="","",Dati!L$8+R76*Dati!$B$13)))</f>
        <v>3.8656303023406793E-2</v>
      </c>
      <c r="M110" s="3">
        <f>IF(Dati!M$7="",$B110,IF($B76="",0,IF(Dati!M$7="","",Dati!M$8+S76*Dati!$B$13)))</f>
        <v>3.8656303023406793E-2</v>
      </c>
      <c r="N110" s="3">
        <f>IF(Dati!N$7="",$B110,IF($B76="",0,IF(Dati!N$7="","",Dati!N$8+T76*Dati!$B$13)))</f>
        <v>3.8656303023406793E-2</v>
      </c>
      <c r="P110" s="3">
        <f>IF($B76="",0,$P$128+$D77*Dati!$B$13)</f>
        <v>13.198253621255098</v>
      </c>
      <c r="Q110" s="3">
        <f>IF($B76="",0,$Q$128+$D77*Dati!$B$13)</f>
        <v>14.692253621255098</v>
      </c>
      <c r="R110" s="3"/>
      <c r="S110" s="3">
        <f>IF($B76="",0,$S$128+$D77*Dati!$B$13)</f>
        <v>13.945253621255098</v>
      </c>
      <c r="T110" s="3">
        <f>IF($B76="",0,$T$128+$D77*Dati!$B$13)</f>
        <v>13.945253621255098</v>
      </c>
    </row>
    <row r="111" spans="1:20" x14ac:dyDescent="0.2">
      <c r="A111" s="6" t="s">
        <v>8</v>
      </c>
      <c r="B111" s="3">
        <f>IF($B77="",0,Dati!B$9+H77*Dati!$B$13)</f>
        <v>1.5923949896284308</v>
      </c>
      <c r="C111" s="3">
        <f>IF($B77="",0,Dati!C$9+I77*Dati!$B$13)</f>
        <v>10.092294747533668</v>
      </c>
      <c r="D111" s="3">
        <f>IF($B77="",0,Dati!D$9+J77*Dati!$B$13)</f>
        <v>10.171942434739725</v>
      </c>
      <c r="E111" s="3">
        <f>IF(Dati!E$7="",$B111,IF($B77="",0,IF(Dati!E$7="","",Dati!E$9+K77*Dati!$B$13)))</f>
        <v>15.671877572207819</v>
      </c>
      <c r="F111" s="3">
        <f>IF(Dati!F$7="",$B111,IF($B77="",0,IF(Dati!F$7="","",Dati!F$9+L77*Dati!$B$13)))</f>
        <v>15.713158385698765</v>
      </c>
      <c r="G111" s="3">
        <f>IF(Dati!G$7="",$B111,IF($B77="",0,IF(Dati!G$7="","",Dati!G$9+M77*Dati!$B$13)))</f>
        <v>1.7133234903254329</v>
      </c>
      <c r="H111" s="3">
        <f>IF(Dati!H$7="",$B111,IF($B77="",0,IF(Dati!H$7="","",Dati!H$9+N77*Dati!$B$13)))</f>
        <v>1.5923949896284308</v>
      </c>
      <c r="I111" s="3">
        <f>IF(Dati!I$7="",$B111,IF($B77="",0,IF(Dati!I$7="","",Dati!I$9+O77*Dati!$B$13)))</f>
        <v>1.5923949896284308</v>
      </c>
      <c r="J111" s="3">
        <f>IF(Dati!J$7="",$B111,IF($B77="",0,IF(Dati!J$7="","",Dati!J$9+P77*Dati!$B$13)))</f>
        <v>1.5923949896284308</v>
      </c>
      <c r="K111" s="3">
        <f>IF(Dati!K$7="",$B111,IF($B77="",0,IF(Dati!K$7="","",Dati!K$9+Q77*Dati!$B$13)))</f>
        <v>1.5923949896284308</v>
      </c>
      <c r="L111" s="3">
        <f>IF(Dati!L$7="",$B111,IF($B77="",0,IF(Dati!L$7="","",Dati!L$9+R77*Dati!$B$13)))</f>
        <v>1.5923949896284308</v>
      </c>
      <c r="M111" s="3">
        <f>IF(Dati!M$7="",$B111,IF($B77="",0,IF(Dati!M$7="","",Dati!M$9+S77*Dati!$B$13)))</f>
        <v>1.5923949896284308</v>
      </c>
      <c r="N111" s="3">
        <f>IF(Dati!N$7="",$B111,IF($B77="",0,IF(Dati!N$7="","",Dati!N$9+T77*Dati!$B$13)))</f>
        <v>1.5923949896284308</v>
      </c>
      <c r="P111" s="3">
        <f>IF($B77="",0,$P$129+$E77*Dati!$B$13)</f>
        <v>7.1764465236036727</v>
      </c>
      <c r="Q111" s="3">
        <f>IF($B77="",0,$Q$129+$E77*Dati!$B$13)</f>
        <v>7.1764465236036727</v>
      </c>
      <c r="R111" s="3"/>
      <c r="S111" s="3">
        <f>IF($B77="",0,$S$129+$E77*Dati!$B$13)</f>
        <v>6.4294465236036729</v>
      </c>
      <c r="T111" s="3">
        <f>IF($B77="",0,$T$129+$E77*Dati!$B$13)</f>
        <v>7.9234465236036726</v>
      </c>
    </row>
    <row r="113" spans="1:20" x14ac:dyDescent="0.2">
      <c r="A113" s="6" t="s">
        <v>7</v>
      </c>
      <c r="B113" s="3">
        <f>IF($B79="",0,Dati!B$8+H79*Dati!$B$13)</f>
        <v>0</v>
      </c>
      <c r="C113" s="3">
        <f>IF($B79="",0,Dati!C$8+I79*Dati!$B$13)</f>
        <v>0</v>
      </c>
      <c r="D113" s="3">
        <f>IF($B79="",0,Dati!D$8+J79*Dati!$B$13)</f>
        <v>0</v>
      </c>
      <c r="E113" s="3">
        <f>IF(Dati!E$7="",$B113,IF($B79="",0,IF(Dati!E$7="","",Dati!E$8+K79*Dati!$B$13)))</f>
        <v>0</v>
      </c>
      <c r="F113" s="3">
        <f>IF(Dati!F$7="",$B113,IF($B79="",0,IF(Dati!F$7="","",Dati!F$8+L79*Dati!$B$13)))</f>
        <v>0</v>
      </c>
      <c r="G113" s="3">
        <f>IF(Dati!G$7="",$B113,IF($B79="",0,IF(Dati!G$7="","",Dati!G$8+M79*Dati!$B$13)))</f>
        <v>0</v>
      </c>
      <c r="H113" s="3">
        <f>IF(Dati!H$7="",$B113,IF($B79="",0,IF(Dati!H$7="","",Dati!H$8+N79*Dati!$B$13)))</f>
        <v>0</v>
      </c>
      <c r="I113" s="3">
        <f>IF(Dati!I$7="",$B113,IF($B79="",0,IF(Dati!I$7="","",Dati!I$8+O79*Dati!$B$13)))</f>
        <v>0</v>
      </c>
      <c r="J113" s="3">
        <f>IF(Dati!J$7="",$B113,IF($B79="",0,IF(Dati!J$7="","",Dati!J$8+P79*Dati!$B$13)))</f>
        <v>0</v>
      </c>
      <c r="K113" s="3">
        <f>IF(Dati!K$7="",$B113,IF($B79="",0,IF(Dati!K$7="","",Dati!K$8+Q79*Dati!$B$13)))</f>
        <v>0</v>
      </c>
      <c r="L113" s="3">
        <f>IF(Dati!L$7="",$B113,IF($B79="",0,IF(Dati!L$7="","",Dati!L$8+R79*Dati!$B$13)))</f>
        <v>0</v>
      </c>
      <c r="M113" s="3">
        <f>IF(Dati!M$7="",$B113,IF($B79="",0,IF(Dati!M$7="","",Dati!M$8+S79*Dati!$B$13)))</f>
        <v>0</v>
      </c>
      <c r="N113" s="3">
        <f>IF(Dati!N$7="",$B113,IF($B79="",0,IF(Dati!N$7="","",Dati!N$8+T79*Dati!$B$13)))</f>
        <v>0</v>
      </c>
      <c r="P113" s="3">
        <f>IF($B79="",0,$P$128+$D80*Dati!$B$13)</f>
        <v>0</v>
      </c>
      <c r="Q113" s="3">
        <f>IF($B79="",0,$Q$128+$D80*Dati!$B$13)</f>
        <v>0</v>
      </c>
      <c r="R113" s="3"/>
      <c r="S113" s="3">
        <f>IF($B79="",0,$S$128+$D80*Dati!$B$13)</f>
        <v>0</v>
      </c>
      <c r="T113" s="3">
        <f>IF($B79="",0,$T$128+$D80*Dati!$B$13)</f>
        <v>0</v>
      </c>
    </row>
    <row r="114" spans="1:20" x14ac:dyDescent="0.2">
      <c r="A114" s="6" t="s">
        <v>8</v>
      </c>
      <c r="B114" s="3">
        <f>IF($B80="",0,Dati!B$9+H80*Dati!$B$13)</f>
        <v>0</v>
      </c>
      <c r="C114" s="3">
        <f>IF($B80="",0,Dati!C$9+I80*Dati!$B$13)</f>
        <v>0</v>
      </c>
      <c r="D114" s="3">
        <f>IF($B80="",0,Dati!D$9+J80*Dati!$B$13)</f>
        <v>0</v>
      </c>
      <c r="E114" s="3">
        <f>IF(Dati!E$7="",$B114,IF($B80="",0,IF(Dati!E$7="","",Dati!E$9+K80*Dati!$B$13)))</f>
        <v>0</v>
      </c>
      <c r="F114" s="3">
        <f>IF(Dati!F$7="",$B114,IF($B80="",0,IF(Dati!F$7="","",Dati!F$9+L80*Dati!$B$13)))</f>
        <v>0</v>
      </c>
      <c r="G114" s="3">
        <f>IF(Dati!G$7="",$B114,IF($B80="",0,IF(Dati!G$7="","",Dati!G$9+M80*Dati!$B$13)))</f>
        <v>0</v>
      </c>
      <c r="H114" s="3">
        <f>IF(Dati!H$7="",$B114,IF($B80="",0,IF(Dati!H$7="","",Dati!H$9+N80*Dati!$B$13)))</f>
        <v>0</v>
      </c>
      <c r="I114" s="3">
        <f>IF(Dati!I$7="",$B114,IF($B80="",0,IF(Dati!I$7="","",Dati!I$9+O80*Dati!$B$13)))</f>
        <v>0</v>
      </c>
      <c r="J114" s="3">
        <f>IF(Dati!J$7="",$B114,IF($B80="",0,IF(Dati!J$7="","",Dati!J$9+P80*Dati!$B$13)))</f>
        <v>0</v>
      </c>
      <c r="K114" s="3">
        <f>IF(Dati!K$7="",$B114,IF($B80="",0,IF(Dati!K$7="","",Dati!K$9+Q80*Dati!$B$13)))</f>
        <v>0</v>
      </c>
      <c r="L114" s="3">
        <f>IF(Dati!L$7="",$B114,IF($B80="",0,IF(Dati!L$7="","",Dati!L$9+R80*Dati!$B$13)))</f>
        <v>0</v>
      </c>
      <c r="M114" s="3">
        <f>IF(Dati!M$7="",$B114,IF($B80="",0,IF(Dati!M$7="","",Dati!M$9+S80*Dati!$B$13)))</f>
        <v>0</v>
      </c>
      <c r="N114" s="3">
        <f>IF(Dati!N$7="",$B114,IF($B80="",0,IF(Dati!N$7="","",Dati!N$9+T80*Dati!$B$13)))</f>
        <v>0</v>
      </c>
      <c r="P114" s="3">
        <f>IF($B80="",0,$P$129+$E80*Dati!$B$13)</f>
        <v>0</v>
      </c>
      <c r="Q114" s="3">
        <f>IF($B80="",0,$Q$129+$E80*Dati!$B$13)</f>
        <v>0</v>
      </c>
      <c r="R114" s="3"/>
      <c r="S114" s="3">
        <f>IF($B80="",0,$S$129+$E80*Dati!$B$13)</f>
        <v>0</v>
      </c>
      <c r="T114" s="3">
        <f>IF($B80="",0,$T$129+$E80*Dati!$B$13)</f>
        <v>0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16.399999999999999</v>
      </c>
      <c r="E128" s="3">
        <f>IF(Dati!E$7="",$B128,IF(Dati!E$7="","",Dati!E8))</f>
        <v>16.399999999999999</v>
      </c>
      <c r="F128" s="3">
        <f>IF(Dati!F$7="",$B128,IF(Dati!F$7="","",Dati!F8))</f>
        <v>24.9</v>
      </c>
      <c r="G128" s="3">
        <f>IF(Dati!G$7="",$B128,IF(Dati!G$7="","",Dati!G8))</f>
        <v>24.9</v>
      </c>
      <c r="H128" s="3">
        <f>IF(Dati!H$7="",$B128,IF(Dati!H$7="","",Dati!H8))</f>
        <v>0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13.186552631578946</v>
      </c>
      <c r="Q128" s="3">
        <f>J18</f>
        <v>14.680552631578946</v>
      </c>
      <c r="S128" s="3">
        <f>L18</f>
        <v>13.933552631578946</v>
      </c>
      <c r="T128" s="3">
        <f>M18</f>
        <v>13.933552631578946</v>
      </c>
    </row>
    <row r="129" spans="1:20" x14ac:dyDescent="0.2">
      <c r="A129" s="6" t="s">
        <v>8</v>
      </c>
      <c r="B129" s="3">
        <f>Dati!B9</f>
        <v>0</v>
      </c>
      <c r="C129" s="3">
        <f>Dati!C9</f>
        <v>8.5</v>
      </c>
      <c r="D129" s="3">
        <f>Dati!D9</f>
        <v>8.5</v>
      </c>
      <c r="E129" s="3">
        <f>IF(Dati!E$7="",$B129,IF(Dati!E$7="","",Dati!E9))</f>
        <v>14</v>
      </c>
      <c r="F129" s="3">
        <f>IF(Dati!F$7="",$B129,IF(Dati!F$7="","",Dati!F9))</f>
        <v>14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5.5164473684210531</v>
      </c>
      <c r="Q129" s="3">
        <f>J19</f>
        <v>5.5164473684210531</v>
      </c>
      <c r="S129" s="3">
        <f>L19</f>
        <v>4.7694473684210532</v>
      </c>
      <c r="T129" s="3">
        <f>M19</f>
        <v>6.263447368421053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2009-01-21T15:28:49Z</dcterms:created>
  <dcterms:modified xsi:type="dcterms:W3CDTF">2017-03-02T10:33:47Z</dcterms:modified>
</cp:coreProperties>
</file>