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"/>
    </mc:Choice>
  </mc:AlternateContent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71027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N129" i="18" s="1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1" i="18"/>
  <c r="K9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E7" i="19"/>
  <c r="K23" i="18" s="1"/>
  <c r="B1" i="19"/>
  <c r="Q23" i="19" s="1"/>
  <c r="B1" i="18"/>
  <c r="E129" i="18"/>
  <c r="F129" i="18"/>
  <c r="E97" i="18"/>
  <c r="L23" i="18"/>
  <c r="E128" i="18"/>
  <c r="N97" i="18"/>
  <c r="F97" i="18"/>
  <c r="F128" i="18"/>
  <c r="J13" i="18" l="1"/>
  <c r="K128" i="18"/>
  <c r="F5" i="20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R23" i="19"/>
  <c r="S23" i="19"/>
  <c r="T23" i="19"/>
  <c r="L13" i="18"/>
  <c r="I129" i="18"/>
  <c r="K13" i="18"/>
  <c r="I37" i="20"/>
  <c r="M37" i="20"/>
  <c r="Q37" i="20"/>
  <c r="F38" i="20"/>
  <c r="J38" i="20"/>
  <c r="N38" i="20"/>
  <c r="E38" i="20"/>
  <c r="T4" i="19" s="1"/>
  <c r="C37" i="20"/>
  <c r="S2" i="19" s="1"/>
  <c r="F37" i="20"/>
  <c r="J37" i="20"/>
  <c r="N37" i="20"/>
  <c r="G38" i="20"/>
  <c r="K38" i="20"/>
  <c r="O38" i="20"/>
  <c r="D37" i="20"/>
  <c r="S3" i="19" s="1"/>
  <c r="D44" i="20"/>
  <c r="C36" i="20"/>
  <c r="G37" i="20"/>
  <c r="K37" i="20"/>
  <c r="O37" i="20"/>
  <c r="H38" i="20"/>
  <c r="L38" i="20"/>
  <c r="P38" i="20"/>
  <c r="D38" i="20"/>
  <c r="T3" i="19" s="1"/>
  <c r="C38" i="20"/>
  <c r="T2" i="19" s="1"/>
  <c r="H37" i="20"/>
  <c r="L37" i="20"/>
  <c r="P37" i="20"/>
  <c r="I38" i="20"/>
  <c r="M38" i="20"/>
  <c r="Q38" i="20"/>
  <c r="E37" i="20"/>
  <c r="S4" i="19" s="1"/>
  <c r="N36" i="20"/>
  <c r="J36" i="20"/>
  <c r="G36" i="20"/>
  <c r="P36" i="20"/>
  <c r="O36" i="20"/>
  <c r="M36" i="20"/>
  <c r="K36" i="20"/>
  <c r="D36" i="20"/>
  <c r="Q36" i="20"/>
  <c r="H36" i="20"/>
  <c r="L36" i="20"/>
  <c r="I36" i="20"/>
  <c r="F36" i="20"/>
  <c r="E36" i="20"/>
  <c r="R4" i="19" s="1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B16" i="18" s="1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J97" i="18"/>
  <c r="M5" i="18"/>
  <c r="I97" i="18"/>
  <c r="L129" i="18"/>
  <c r="J129" i="18"/>
  <c r="L128" i="18"/>
  <c r="H5" i="18"/>
  <c r="E5" i="18"/>
  <c r="P23" i="18"/>
  <c r="K97" i="18"/>
  <c r="D5" i="18"/>
  <c r="I5" i="18"/>
  <c r="K129" i="18"/>
  <c r="F14" i="18"/>
  <c r="F13" i="18"/>
  <c r="G13" i="18"/>
  <c r="G14" i="18"/>
  <c r="B25" i="18"/>
  <c r="E13" i="18"/>
  <c r="E14" i="18"/>
  <c r="D13" i="18"/>
  <c r="D14" i="18"/>
  <c r="D12" i="18"/>
  <c r="B12" i="18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R3" i="19"/>
  <c r="L4" i="20"/>
  <c r="M4" i="20"/>
  <c r="R25" i="19" l="1"/>
  <c r="S25" i="19"/>
  <c r="T25" i="19"/>
  <c r="R29" i="19"/>
  <c r="S29" i="19"/>
  <c r="T29" i="19"/>
  <c r="R21" i="19"/>
  <c r="S21" i="19"/>
  <c r="T21" i="19"/>
  <c r="R24" i="19"/>
  <c r="S24" i="19"/>
  <c r="T24" i="19"/>
  <c r="R26" i="19"/>
  <c r="S26" i="19"/>
  <c r="T26" i="19"/>
  <c r="R20" i="19"/>
  <c r="S20" i="19"/>
  <c r="T20" i="19"/>
  <c r="R31" i="19"/>
  <c r="S31" i="19"/>
  <c r="T31" i="19"/>
  <c r="R27" i="19"/>
  <c r="S27" i="19"/>
  <c r="T27" i="19"/>
  <c r="R22" i="19"/>
  <c r="S22" i="19"/>
  <c r="T22" i="19"/>
  <c r="R30" i="19"/>
  <c r="S30" i="19"/>
  <c r="T30" i="19"/>
  <c r="Q6" i="19"/>
  <c r="S5" i="19"/>
  <c r="T5" i="19"/>
  <c r="R28" i="19"/>
  <c r="S28" i="19"/>
  <c r="T28" i="19"/>
  <c r="B15" i="18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7" i="19" l="1"/>
  <c r="T7" i="19"/>
  <c r="S6" i="19"/>
  <c r="T6" i="19"/>
  <c r="S5" i="20"/>
  <c r="R4" i="20"/>
  <c r="R38" i="20"/>
  <c r="R36" i="20"/>
  <c r="R37" i="20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S8" i="19" l="1"/>
  <c r="T8" i="19"/>
  <c r="T5" i="20"/>
  <c r="S4" i="20"/>
  <c r="S36" i="20"/>
  <c r="S37" i="20"/>
  <c r="S38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AD9" i="20"/>
  <c r="M9" i="20"/>
  <c r="Y9" i="20"/>
  <c r="U9" i="20"/>
  <c r="Q9" i="20"/>
  <c r="C64" i="18"/>
  <c r="C65" i="18"/>
  <c r="G31" i="18"/>
  <c r="G65" i="18" s="1"/>
  <c r="G30" i="18"/>
  <c r="G64" i="18" s="1"/>
  <c r="Z9" i="20"/>
  <c r="B10" i="20"/>
  <c r="B34" i="18" s="1"/>
  <c r="B68" i="18" s="1"/>
  <c r="A49" i="20"/>
  <c r="F9" i="20"/>
  <c r="C33" i="18" s="1"/>
  <c r="AF9" i="20"/>
  <c r="I9" i="20"/>
  <c r="H9" i="20"/>
  <c r="AE9" i="20"/>
  <c r="G9" i="20"/>
  <c r="B19" i="18"/>
  <c r="R8" i="19"/>
  <c r="Q9" i="19"/>
  <c r="M24" i="18" l="1"/>
  <c r="R24" i="18"/>
  <c r="S24" i="18"/>
  <c r="Q24" i="18"/>
  <c r="P24" i="18"/>
  <c r="L25" i="18"/>
  <c r="S25" i="18"/>
  <c r="R25" i="18"/>
  <c r="Q25" i="18"/>
  <c r="P25" i="18"/>
  <c r="S9" i="19"/>
  <c r="T9" i="19"/>
  <c r="U5" i="20"/>
  <c r="T38" i="20"/>
  <c r="T37" i="20"/>
  <c r="T4" i="20"/>
  <c r="T36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G34" i="18"/>
  <c r="G68" i="18" s="1"/>
  <c r="C67" i="18"/>
  <c r="G33" i="18"/>
  <c r="G67" i="18" s="1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R9" i="19"/>
  <c r="Q10" i="19"/>
  <c r="AA11" i="20" l="1"/>
  <c r="Q27" i="18"/>
  <c r="P26" i="18"/>
  <c r="P27" i="18"/>
  <c r="M27" i="18"/>
  <c r="Q26" i="18"/>
  <c r="S26" i="18"/>
  <c r="S27" i="18"/>
  <c r="R26" i="18"/>
  <c r="R27" i="18"/>
  <c r="Q11" i="19"/>
  <c r="Q12" i="19" s="1"/>
  <c r="S10" i="19"/>
  <c r="T10" i="19"/>
  <c r="V5" i="20"/>
  <c r="U37" i="20"/>
  <c r="U38" i="20"/>
  <c r="U36" i="20"/>
  <c r="U4" i="20"/>
  <c r="L26" i="18"/>
  <c r="L30" i="18" s="1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C34" i="18"/>
  <c r="C68" i="18" s="1"/>
  <c r="W11" i="20"/>
  <c r="I26" i="18"/>
  <c r="K26" i="18"/>
  <c r="J26" i="18"/>
  <c r="AD11" i="20"/>
  <c r="H27" i="18"/>
  <c r="N27" i="18"/>
  <c r="AF11" i="20"/>
  <c r="O11" i="20"/>
  <c r="R11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L31" i="18"/>
  <c r="R10" i="19"/>
  <c r="H31" i="18" l="1"/>
  <c r="S30" i="18"/>
  <c r="S31" i="18"/>
  <c r="P31" i="18"/>
  <c r="P30" i="18"/>
  <c r="Q30" i="18"/>
  <c r="Q31" i="18"/>
  <c r="R30" i="18"/>
  <c r="R31" i="18"/>
  <c r="W5" i="20"/>
  <c r="V37" i="20"/>
  <c r="V36" i="20"/>
  <c r="V4" i="20"/>
  <c r="V38" i="20"/>
  <c r="S12" i="19"/>
  <c r="T12" i="19"/>
  <c r="S11" i="19"/>
  <c r="T11" i="19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Z13" i="20" l="1"/>
  <c r="S13" i="19"/>
  <c r="T13" i="19"/>
  <c r="X5" i="20"/>
  <c r="W4" i="20"/>
  <c r="W37" i="20"/>
  <c r="W36" i="20"/>
  <c r="W38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S34" i="18" l="1"/>
  <c r="P34" i="18"/>
  <c r="Q34" i="18"/>
  <c r="R34" i="18"/>
  <c r="S33" i="18"/>
  <c r="P33" i="18"/>
  <c r="Q33" i="18"/>
  <c r="R33" i="18"/>
  <c r="Y5" i="20"/>
  <c r="X4" i="20"/>
  <c r="X38" i="20"/>
  <c r="X37" i="20"/>
  <c r="X36" i="20"/>
  <c r="S14" i="19"/>
  <c r="T14" i="19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G15" i="20" s="1"/>
  <c r="BE53" i="20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G37" i="18"/>
  <c r="G71" i="18" s="1"/>
  <c r="G36" i="18"/>
  <c r="G70" i="18" s="1"/>
  <c r="C70" i="18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AC15" i="20" l="1"/>
  <c r="S15" i="19"/>
  <c r="T15" i="19"/>
  <c r="P15" i="20"/>
  <c r="I15" i="20"/>
  <c r="Z5" i="20"/>
  <c r="Y38" i="20"/>
  <c r="Y4" i="20"/>
  <c r="Y37" i="20"/>
  <c r="Y36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F16" i="20" s="1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U34" i="18"/>
  <c r="T33" i="18"/>
  <c r="T34" i="18"/>
  <c r="U33" i="18"/>
  <c r="R15" i="19"/>
  <c r="Q16" i="19"/>
  <c r="C38" i="18"/>
  <c r="D37" i="18" s="1"/>
  <c r="Q17" i="19" l="1"/>
  <c r="S16" i="19"/>
  <c r="T16" i="19"/>
  <c r="AA5" i="20"/>
  <c r="Z38" i="20"/>
  <c r="Z37" i="20"/>
  <c r="Z36" i="20"/>
  <c r="Z4" i="20"/>
  <c r="G16" i="20"/>
  <c r="C39" i="18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BG55" i="20"/>
  <c r="AY55" i="20"/>
  <c r="S55" i="20"/>
  <c r="M55" i="20"/>
  <c r="AE55" i="20"/>
  <c r="J55" i="20"/>
  <c r="BC55" i="20"/>
  <c r="AW55" i="20"/>
  <c r="AH55" i="20"/>
  <c r="AB55" i="20"/>
  <c r="W55" i="20"/>
  <c r="Q55" i="20"/>
  <c r="AL55" i="20"/>
  <c r="AD55" i="20"/>
  <c r="Q17" i="20" s="1"/>
  <c r="AK55" i="20"/>
  <c r="V55" i="20"/>
  <c r="D55" i="20"/>
  <c r="AA16" i="20"/>
  <c r="M16" i="20"/>
  <c r="P16" i="20"/>
  <c r="U16" i="20"/>
  <c r="O16" i="20"/>
  <c r="AF16" i="20"/>
  <c r="AD16" i="20"/>
  <c r="N16" i="20"/>
  <c r="G17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L16" i="20"/>
  <c r="AC16" i="20"/>
  <c r="E16" i="20"/>
  <c r="C40" i="18" s="1"/>
  <c r="C74" i="18" s="1"/>
  <c r="R16" i="20"/>
  <c r="V34" i="18"/>
  <c r="V33" i="18"/>
  <c r="R17" i="19"/>
  <c r="Q18" i="19"/>
  <c r="R16" i="19"/>
  <c r="C72" i="18"/>
  <c r="E37" i="18"/>
  <c r="F37" i="18"/>
  <c r="L36" i="18" s="1"/>
  <c r="P17" i="20" l="1"/>
  <c r="I17" i="20"/>
  <c r="Q36" i="18"/>
  <c r="R36" i="18"/>
  <c r="P36" i="18"/>
  <c r="S36" i="18"/>
  <c r="R37" i="18"/>
  <c r="P37" i="18"/>
  <c r="Q37" i="18"/>
  <c r="S37" i="18"/>
  <c r="Y17" i="20"/>
  <c r="AB5" i="20"/>
  <c r="AA38" i="20"/>
  <c r="AA4" i="20"/>
  <c r="AA36" i="20"/>
  <c r="AA37" i="20"/>
  <c r="S18" i="19"/>
  <c r="T18" i="19"/>
  <c r="H17" i="20"/>
  <c r="J17" i="20"/>
  <c r="S17" i="19"/>
  <c r="T17" i="19"/>
  <c r="V17" i="20"/>
  <c r="K17" i="20"/>
  <c r="C73" i="18"/>
  <c r="G39" i="18"/>
  <c r="G73" i="18" s="1"/>
  <c r="G40" i="18"/>
  <c r="G74" i="18" s="1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F56" i="20"/>
  <c r="E56" i="20"/>
  <c r="C18" i="20" s="1"/>
  <c r="O36" i="18"/>
  <c r="M36" i="18"/>
  <c r="N37" i="18"/>
  <c r="R18" i="19"/>
  <c r="Q19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C41" i="18" l="1"/>
  <c r="E40" i="18" s="1"/>
  <c r="S19" i="19"/>
  <c r="T19" i="19"/>
  <c r="AC5" i="20"/>
  <c r="AB38" i="20"/>
  <c r="AB36" i="20"/>
  <c r="AB37" i="20"/>
  <c r="AB4" i="20"/>
  <c r="J18" i="20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R19" i="19"/>
  <c r="B18" i="19"/>
  <c r="B19" i="19"/>
  <c r="B16" i="19"/>
  <c r="T36" i="18"/>
  <c r="U37" i="18"/>
  <c r="U36" i="18"/>
  <c r="T37" i="18"/>
  <c r="C75" i="18" l="1"/>
  <c r="F40" i="18"/>
  <c r="O40" i="18" s="1"/>
  <c r="D40" i="18"/>
  <c r="R39" i="18" s="1"/>
  <c r="R40" i="18"/>
  <c r="S40" i="18"/>
  <c r="P39" i="18"/>
  <c r="I19" i="20"/>
  <c r="C42" i="18"/>
  <c r="G42" i="18" s="1"/>
  <c r="G76" i="18" s="1"/>
  <c r="AC36" i="20"/>
  <c r="AD5" i="20"/>
  <c r="AC4" i="20"/>
  <c r="AC38" i="20"/>
  <c r="AC37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I40" i="18"/>
  <c r="M40" i="18"/>
  <c r="L40" i="18"/>
  <c r="J40" i="18"/>
  <c r="M39" i="18"/>
  <c r="L39" i="18"/>
  <c r="H39" i="18"/>
  <c r="V36" i="18"/>
  <c r="V37" i="18"/>
  <c r="I39" i="18" l="1"/>
  <c r="U39" i="18" s="1"/>
  <c r="O39" i="18"/>
  <c r="K39" i="18"/>
  <c r="Q39" i="18"/>
  <c r="Q40" i="18"/>
  <c r="J39" i="18"/>
  <c r="N39" i="18"/>
  <c r="N40" i="18"/>
  <c r="H40" i="18"/>
  <c r="S39" i="18"/>
  <c r="P40" i="18"/>
  <c r="I20" i="20"/>
  <c r="C76" i="18"/>
  <c r="G43" i="18"/>
  <c r="G77" i="18" s="1"/>
  <c r="AE5" i="20"/>
  <c r="AD38" i="20"/>
  <c r="AD36" i="20"/>
  <c r="AD37" i="20"/>
  <c r="AD4" i="20"/>
  <c r="U20" i="20"/>
  <c r="AE20" i="20"/>
  <c r="C43" i="18"/>
  <c r="C77" i="18" s="1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T40" i="18"/>
  <c r="T39" i="18" l="1"/>
  <c r="V39" i="18" s="1"/>
  <c r="U40" i="18"/>
  <c r="R21" i="20"/>
  <c r="AF5" i="20"/>
  <c r="AE37" i="20"/>
  <c r="AE4" i="20"/>
  <c r="AE38" i="20"/>
  <c r="AE36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AE22" i="20" s="1"/>
  <c r="Z60" i="20"/>
  <c r="R60" i="20"/>
  <c r="J60" i="20"/>
  <c r="AX60" i="20"/>
  <c r="AL60" i="20"/>
  <c r="V60" i="20"/>
  <c r="BB60" i="20"/>
  <c r="AD60" i="20"/>
  <c r="AP60" i="20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B62" i="20"/>
  <c r="B65" i="20" s="1"/>
  <c r="B68" i="20" s="1"/>
  <c r="B71" i="20" s="1"/>
  <c r="A21" i="20"/>
  <c r="A45" i="18" s="1"/>
  <c r="A79" i="18" s="1"/>
  <c r="E60" i="20"/>
  <c r="C22" i="20" s="1"/>
  <c r="R22" i="20"/>
  <c r="F60" i="20"/>
  <c r="A62" i="20"/>
  <c r="V40" i="18"/>
  <c r="W22" i="20" l="1"/>
  <c r="AF36" i="20"/>
  <c r="AF4" i="20"/>
  <c r="AF37" i="20"/>
  <c r="AF38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Y24" i="20" s="1"/>
  <c r="AP62" i="20"/>
  <c r="AL62" i="20"/>
  <c r="AH62" i="20"/>
  <c r="AD62" i="20"/>
  <c r="Z62" i="20"/>
  <c r="V62" i="20"/>
  <c r="M24" i="20" s="1"/>
  <c r="R62" i="20"/>
  <c r="N62" i="20"/>
  <c r="J62" i="20"/>
  <c r="G24" i="20" s="1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 s="1"/>
  <c r="BD62" i="20"/>
  <c r="AF62" i="20"/>
  <c r="AV62" i="20"/>
  <c r="Z24" i="20" s="1"/>
  <c r="AJ62" i="20"/>
  <c r="T24" i="20" s="1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24" i="20" s="1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S43" i="18" l="1"/>
  <c r="P43" i="18"/>
  <c r="Q43" i="18"/>
  <c r="R43" i="18"/>
  <c r="S42" i="18"/>
  <c r="P42" i="18"/>
  <c r="Q42" i="18"/>
  <c r="R42" i="18"/>
  <c r="P23" i="20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Y25" i="20" s="1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 s="1"/>
  <c r="AS63" i="20"/>
  <c r="AO63" i="20"/>
  <c r="Z63" i="20"/>
  <c r="O25" i="20" s="1"/>
  <c r="T63" i="20"/>
  <c r="L25" i="20" s="1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C47" i="18" s="1"/>
  <c r="C81" i="18" s="1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C25" i="20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Q79" i="18" l="1"/>
  <c r="R79" i="18"/>
  <c r="P79" i="18"/>
  <c r="P80" i="18"/>
  <c r="Q80" i="18"/>
  <c r="S79" i="18"/>
  <c r="R80" i="18"/>
  <c r="T42" i="18"/>
  <c r="T43" i="18"/>
  <c r="U43" i="18"/>
  <c r="U42" i="18"/>
  <c r="E46" i="18"/>
  <c r="L46" i="18" s="1"/>
  <c r="D46" i="18"/>
  <c r="F46" i="18"/>
  <c r="BH64" i="20"/>
  <c r="BD64" i="20"/>
  <c r="AZ64" i="20"/>
  <c r="AV64" i="20"/>
  <c r="AR64" i="20"/>
  <c r="AN64" i="20"/>
  <c r="AJ64" i="20"/>
  <c r="AF64" i="20"/>
  <c r="AB64" i="20"/>
  <c r="P26" i="20" s="1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N64" i="20"/>
  <c r="BB64" i="20"/>
  <c r="AL64" i="20"/>
  <c r="BF64" i="20"/>
  <c r="AH64" i="20"/>
  <c r="AX64" i="20"/>
  <c r="Z64" i="20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O26" i="20"/>
  <c r="M26" i="20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V42" i="18" l="1"/>
  <c r="V43" i="18"/>
  <c r="H46" i="18"/>
  <c r="H45" i="18"/>
  <c r="L45" i="18"/>
  <c r="N46" i="18"/>
  <c r="I45" i="18"/>
  <c r="M46" i="18"/>
  <c r="O46" i="18"/>
  <c r="J45" i="18"/>
  <c r="K46" i="18"/>
  <c r="N45" i="18"/>
  <c r="M45" i="18"/>
  <c r="I46" i="18"/>
  <c r="J46" i="18"/>
  <c r="O45" i="18"/>
  <c r="K45" i="18"/>
  <c r="AZ65" i="20"/>
  <c r="AV65" i="20"/>
  <c r="Z27" i="20" s="1"/>
  <c r="BH65" i="20"/>
  <c r="AF27" i="20" s="1"/>
  <c r="BD65" i="20"/>
  <c r="AR65" i="20"/>
  <c r="X27" i="20" s="1"/>
  <c r="BJ65" i="20"/>
  <c r="BF65" i="20"/>
  <c r="AE27" i="20" s="1"/>
  <c r="BB65" i="20"/>
  <c r="AC27" i="20" s="1"/>
  <c r="BA65" i="20"/>
  <c r="AW65" i="20"/>
  <c r="AM65" i="20"/>
  <c r="X65" i="20"/>
  <c r="N27" i="20" s="1"/>
  <c r="R65" i="20"/>
  <c r="K27" i="20" s="1"/>
  <c r="M65" i="20"/>
  <c r="BI65" i="20"/>
  <c r="AT65" i="20"/>
  <c r="Y27" i="20" s="1"/>
  <c r="AE65" i="20"/>
  <c r="H65" i="20"/>
  <c r="F27" i="20" s="1"/>
  <c r="AO65" i="20"/>
  <c r="AI65" i="20"/>
  <c r="AX65" i="20"/>
  <c r="AA27" i="20" s="1"/>
  <c r="Z65" i="20"/>
  <c r="O27" i="20" s="1"/>
  <c r="BK65" i="20"/>
  <c r="AJ65" i="20"/>
  <c r="AD65" i="20"/>
  <c r="Y65" i="20"/>
  <c r="S65" i="20"/>
  <c r="AP65" i="20"/>
  <c r="W27" i="20" s="1"/>
  <c r="BE65" i="20"/>
  <c r="T65" i="20"/>
  <c r="L27" i="20" s="1"/>
  <c r="U65" i="20"/>
  <c r="AU65" i="20"/>
  <c r="AQ65" i="20"/>
  <c r="AB65" i="20"/>
  <c r="P27" i="20" s="1"/>
  <c r="V65" i="20"/>
  <c r="M27" i="20" s="1"/>
  <c r="Q65" i="20"/>
  <c r="K65" i="20"/>
  <c r="BG65" i="20"/>
  <c r="AS65" i="20"/>
  <c r="AN65" i="20"/>
  <c r="V27" i="20" s="1"/>
  <c r="AH65" i="20"/>
  <c r="AC65" i="20"/>
  <c r="N65" i="20"/>
  <c r="I27" i="20" s="1"/>
  <c r="I65" i="20"/>
  <c r="O65" i="20"/>
  <c r="BC65" i="20"/>
  <c r="AY65" i="20"/>
  <c r="AL65" i="20"/>
  <c r="U27" i="20" s="1"/>
  <c r="AG65" i="20"/>
  <c r="AA65" i="20"/>
  <c r="L65" i="20"/>
  <c r="H27" i="20" s="1"/>
  <c r="AK65" i="20"/>
  <c r="P65" i="20"/>
  <c r="J27" i="20" s="1"/>
  <c r="J65" i="20"/>
  <c r="G27" i="20" s="1"/>
  <c r="W65" i="20"/>
  <c r="AF65" i="20"/>
  <c r="R27" i="20" s="1"/>
  <c r="D65" i="20"/>
  <c r="D27" i="20" s="1"/>
  <c r="F65" i="20"/>
  <c r="E27" i="20" s="1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AB27" i="20"/>
  <c r="Q27" i="20"/>
  <c r="C65" i="20"/>
  <c r="C27" i="20"/>
  <c r="T27" i="20"/>
  <c r="B27" i="20"/>
  <c r="B51" i="18" s="1"/>
  <c r="B85" i="18" s="1"/>
  <c r="C67" i="20"/>
  <c r="S27" i="20"/>
  <c r="AD27" i="20"/>
  <c r="A66" i="20"/>
  <c r="C66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T45" i="18" l="1"/>
  <c r="U45" i="18"/>
  <c r="U46" i="18"/>
  <c r="T46" i="18"/>
  <c r="BJ66" i="20"/>
  <c r="BF66" i="20"/>
  <c r="AE28" i="20" s="1"/>
  <c r="BB66" i="20"/>
  <c r="AC28" i="20" s="1"/>
  <c r="AX66" i="20"/>
  <c r="AA28" i="20" s="1"/>
  <c r="AT66" i="20"/>
  <c r="Y28" i="20" s="1"/>
  <c r="AP66" i="20"/>
  <c r="W28" i="20" s="1"/>
  <c r="AL66" i="20"/>
  <c r="AH66" i="20"/>
  <c r="S28" i="20" s="1"/>
  <c r="AD66" i="20"/>
  <c r="Q28" i="20" s="1"/>
  <c r="Z66" i="20"/>
  <c r="O28" i="20" s="1"/>
  <c r="V66" i="20"/>
  <c r="M28" i="20" s="1"/>
  <c r="R66" i="20"/>
  <c r="K28" i="20" s="1"/>
  <c r="N66" i="20"/>
  <c r="I28" i="20" s="1"/>
  <c r="J66" i="20"/>
  <c r="G28" i="20" s="1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R28" i="20" s="1"/>
  <c r="X66" i="20"/>
  <c r="N28" i="20" s="1"/>
  <c r="P66" i="20"/>
  <c r="J28" i="20" s="1"/>
  <c r="AB66" i="20"/>
  <c r="P28" i="20" s="1"/>
  <c r="H66" i="20"/>
  <c r="F28" i="20" s="1"/>
  <c r="AZ66" i="20"/>
  <c r="AB28" i="20" s="1"/>
  <c r="AV66" i="20"/>
  <c r="Z28" i="20" s="1"/>
  <c r="L66" i="20"/>
  <c r="H28" i="20" s="1"/>
  <c r="BH66" i="20"/>
  <c r="AF28" i="20" s="1"/>
  <c r="AJ66" i="20"/>
  <c r="T28" i="20" s="1"/>
  <c r="BD66" i="20"/>
  <c r="AD28" i="20" s="1"/>
  <c r="T66" i="20"/>
  <c r="L28" i="20" s="1"/>
  <c r="AR66" i="20"/>
  <c r="X28" i="20" s="1"/>
  <c r="AN66" i="20"/>
  <c r="V28" i="20" s="1"/>
  <c r="F66" i="20"/>
  <c r="E28" i="20" s="1"/>
  <c r="E66" i="20"/>
  <c r="G66" i="20"/>
  <c r="D66" i="20"/>
  <c r="D28" i="20" s="1"/>
  <c r="C50" i="18"/>
  <c r="F49" i="18" s="1"/>
  <c r="C51" i="18"/>
  <c r="S51" i="18" s="1"/>
  <c r="A27" i="20"/>
  <c r="A51" i="18" s="1"/>
  <c r="A85" i="18" s="1"/>
  <c r="B28" i="20"/>
  <c r="B52" i="18" s="1"/>
  <c r="B86" i="18" s="1"/>
  <c r="C28" i="20"/>
  <c r="U28" i="20"/>
  <c r="A67" i="20"/>
  <c r="V45" i="18" l="1"/>
  <c r="V46" i="18"/>
  <c r="BJ67" i="20"/>
  <c r="BB67" i="20"/>
  <c r="AC29" i="20" s="1"/>
  <c r="AX67" i="20"/>
  <c r="AA29" i="20" s="1"/>
  <c r="BF67" i="20"/>
  <c r="AE29" i="20" s="1"/>
  <c r="AT67" i="20"/>
  <c r="BH67" i="20"/>
  <c r="AF29" i="20" s="1"/>
  <c r="BD67" i="20"/>
  <c r="AD29" i="20" s="1"/>
  <c r="AZ67" i="20"/>
  <c r="AB29" i="20" s="1"/>
  <c r="BC67" i="20"/>
  <c r="AY67" i="20"/>
  <c r="AO67" i="20"/>
  <c r="Z67" i="20"/>
  <c r="O29" i="20" s="1"/>
  <c r="T67" i="20"/>
  <c r="L29" i="20" s="1"/>
  <c r="O67" i="20"/>
  <c r="I67" i="20"/>
  <c r="BK67" i="20"/>
  <c r="BA67" i="20"/>
  <c r="AV67" i="20"/>
  <c r="Z29" i="20" s="1"/>
  <c r="AM67" i="20"/>
  <c r="AG67" i="20"/>
  <c r="Y67" i="20"/>
  <c r="P67" i="20"/>
  <c r="J29" i="20" s="1"/>
  <c r="AR67" i="20"/>
  <c r="X29" i="20" s="1"/>
  <c r="W67" i="20"/>
  <c r="AL67" i="20"/>
  <c r="U29" i="20" s="1"/>
  <c r="AF67" i="20"/>
  <c r="R29" i="20" s="1"/>
  <c r="AA67" i="20"/>
  <c r="U67" i="20"/>
  <c r="R67" i="20"/>
  <c r="AK67" i="20"/>
  <c r="AB67" i="20"/>
  <c r="P29" i="20" s="1"/>
  <c r="AW67" i="20"/>
  <c r="AD67" i="20"/>
  <c r="X67" i="20"/>
  <c r="N29" i="20" s="1"/>
  <c r="S67" i="20"/>
  <c r="M67" i="20"/>
  <c r="BI67" i="20"/>
  <c r="AU67" i="20"/>
  <c r="AP67" i="20"/>
  <c r="AJ67" i="20"/>
  <c r="T29" i="20" s="1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I29" i="20" s="1"/>
  <c r="H67" i="20"/>
  <c r="F29" i="20" s="1"/>
  <c r="L67" i="20"/>
  <c r="H29" i="20" s="1"/>
  <c r="J67" i="20"/>
  <c r="G29" i="20" s="1"/>
  <c r="V67" i="20"/>
  <c r="M29" i="20" s="1"/>
  <c r="K67" i="20"/>
  <c r="Q67" i="20"/>
  <c r="C52" i="18"/>
  <c r="C86" i="18" s="1"/>
  <c r="E67" i="20"/>
  <c r="F67" i="20"/>
  <c r="E29" i="20" s="1"/>
  <c r="G67" i="20"/>
  <c r="D67" i="20"/>
  <c r="D29" i="20" s="1"/>
  <c r="C84" i="18"/>
  <c r="E49" i="18"/>
  <c r="N49" i="18" s="1"/>
  <c r="D49" i="18"/>
  <c r="M48" i="18" s="1"/>
  <c r="G52" i="18"/>
  <c r="G86" i="18" s="1"/>
  <c r="K51" i="18"/>
  <c r="H51" i="18"/>
  <c r="K52" i="18"/>
  <c r="D52" i="18"/>
  <c r="Q52" i="18"/>
  <c r="P52" i="18"/>
  <c r="I52" i="18"/>
  <c r="J52" i="18"/>
  <c r="N52" i="18"/>
  <c r="P51" i="18"/>
  <c r="E52" i="18"/>
  <c r="M51" i="18"/>
  <c r="M52" i="18"/>
  <c r="R52" i="18"/>
  <c r="O52" i="18"/>
  <c r="Q51" i="18"/>
  <c r="S52" i="18"/>
  <c r="I51" i="18"/>
  <c r="L51" i="18"/>
  <c r="G51" i="18"/>
  <c r="G85" i="18" s="1"/>
  <c r="F52" i="18"/>
  <c r="L52" i="18"/>
  <c r="O51" i="18"/>
  <c r="R51" i="18"/>
  <c r="N51" i="18"/>
  <c r="J51" i="18"/>
  <c r="H52" i="18"/>
  <c r="C85" i="18"/>
  <c r="Q85" i="18" s="1"/>
  <c r="A30" i="20"/>
  <c r="A54" i="18" s="1"/>
  <c r="A88" i="18" s="1"/>
  <c r="A71" i="20"/>
  <c r="A33" i="20"/>
  <c r="A57" i="18" s="1"/>
  <c r="A91" i="18" s="1"/>
  <c r="M49" i="18"/>
  <c r="A68" i="20"/>
  <c r="B29" i="20"/>
  <c r="B53" i="18" s="1"/>
  <c r="B87" i="18" s="1"/>
  <c r="C29" i="20"/>
  <c r="K29" i="20"/>
  <c r="Q29" i="20"/>
  <c r="W29" i="20"/>
  <c r="Y29" i="20"/>
  <c r="BH68" i="20" l="1"/>
  <c r="AF30" i="20" s="1"/>
  <c r="BD68" i="20"/>
  <c r="AD30" i="20" s="1"/>
  <c r="AZ68" i="20"/>
  <c r="AB30" i="20" s="1"/>
  <c r="AV68" i="20"/>
  <c r="Z30" i="20" s="1"/>
  <c r="AR68" i="20"/>
  <c r="X30" i="20" s="1"/>
  <c r="AN68" i="20"/>
  <c r="AJ68" i="20"/>
  <c r="AF68" i="20"/>
  <c r="R30" i="20" s="1"/>
  <c r="AB68" i="20"/>
  <c r="P30" i="20" s="1"/>
  <c r="X68" i="20"/>
  <c r="T68" i="20"/>
  <c r="L30" i="20" s="1"/>
  <c r="P68" i="20"/>
  <c r="J30" i="20" s="1"/>
  <c r="L68" i="20"/>
  <c r="H68" i="20"/>
  <c r="F30" i="20" s="1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 s="1"/>
  <c r="Z68" i="20"/>
  <c r="O30" i="20" s="1"/>
  <c r="BB68" i="20"/>
  <c r="AC30" i="20" s="1"/>
  <c r="AX68" i="20"/>
  <c r="N68" i="20"/>
  <c r="I30" i="20" s="1"/>
  <c r="R68" i="20"/>
  <c r="K30" i="20" s="1"/>
  <c r="BJ68" i="20"/>
  <c r="AL68" i="20"/>
  <c r="U30" i="20" s="1"/>
  <c r="BF68" i="20"/>
  <c r="AE30" i="20" s="1"/>
  <c r="AP68" i="20"/>
  <c r="W30" i="20" s="1"/>
  <c r="V68" i="20"/>
  <c r="AT68" i="20"/>
  <c r="Y30" i="20" s="1"/>
  <c r="AD68" i="20"/>
  <c r="J68" i="20"/>
  <c r="G30" i="20" s="1"/>
  <c r="AX71" i="20"/>
  <c r="AA33" i="20" s="1"/>
  <c r="AT71" i="20"/>
  <c r="Y33" i="20" s="1"/>
  <c r="BJ71" i="20"/>
  <c r="BF71" i="20"/>
  <c r="AE33" i="20" s="1"/>
  <c r="BB71" i="20"/>
  <c r="AC33" i="20" s="1"/>
  <c r="BH71" i="20"/>
  <c r="BD71" i="20"/>
  <c r="AD33" i="20" s="1"/>
  <c r="AZ71" i="20"/>
  <c r="AB33" i="20" s="1"/>
  <c r="BG71" i="20"/>
  <c r="AU71" i="20"/>
  <c r="AD71" i="20"/>
  <c r="Q33" i="20" s="1"/>
  <c r="X71" i="20"/>
  <c r="N33" i="20" s="1"/>
  <c r="S71" i="20"/>
  <c r="M71" i="20"/>
  <c r="BE71" i="20"/>
  <c r="AR71" i="20"/>
  <c r="X33" i="20" s="1"/>
  <c r="P71" i="20"/>
  <c r="K71" i="20"/>
  <c r="N71" i="20"/>
  <c r="I33" i="20" s="1"/>
  <c r="Z71" i="20"/>
  <c r="O33" i="20" s="1"/>
  <c r="O71" i="20"/>
  <c r="U71" i="20"/>
  <c r="AP71" i="20"/>
  <c r="AJ71" i="20"/>
  <c r="T33" i="20" s="1"/>
  <c r="AE71" i="20"/>
  <c r="Y71" i="20"/>
  <c r="J71" i="20"/>
  <c r="G33" i="20" s="1"/>
  <c r="AK71" i="20"/>
  <c r="BK71" i="20"/>
  <c r="BC71" i="20"/>
  <c r="AS71" i="20"/>
  <c r="AH71" i="20"/>
  <c r="S33" i="20" s="1"/>
  <c r="AB71" i="20"/>
  <c r="P33" i="20" s="1"/>
  <c r="W71" i="20"/>
  <c r="Q71" i="20"/>
  <c r="AY71" i="20"/>
  <c r="AN71" i="20"/>
  <c r="V33" i="20" s="1"/>
  <c r="AI71" i="20"/>
  <c r="AC71" i="20"/>
  <c r="BA71" i="20"/>
  <c r="AO71" i="20"/>
  <c r="AF71" i="20"/>
  <c r="R33" i="20" s="1"/>
  <c r="AA71" i="20"/>
  <c r="BI71" i="20"/>
  <c r="AW71" i="20"/>
  <c r="AM71" i="20"/>
  <c r="AG71" i="20"/>
  <c r="R71" i="20"/>
  <c r="K33" i="20" s="1"/>
  <c r="L71" i="20"/>
  <c r="H33" i="20" s="1"/>
  <c r="AQ71" i="20"/>
  <c r="V71" i="20"/>
  <c r="M33" i="20" s="1"/>
  <c r="H71" i="20"/>
  <c r="F33" i="20" s="1"/>
  <c r="T71" i="20"/>
  <c r="L33" i="20" s="1"/>
  <c r="I71" i="20"/>
  <c r="AV71" i="20"/>
  <c r="Z33" i="20" s="1"/>
  <c r="AL71" i="20"/>
  <c r="U33" i="20" s="1"/>
  <c r="C53" i="18"/>
  <c r="C87" i="18" s="1"/>
  <c r="S86" i="18"/>
  <c r="D68" i="20"/>
  <c r="D30" i="20" s="1"/>
  <c r="F68" i="20"/>
  <c r="E30" i="20" s="1"/>
  <c r="G68" i="20"/>
  <c r="E68" i="20"/>
  <c r="E71" i="20"/>
  <c r="F71" i="20"/>
  <c r="E33" i="20" s="1"/>
  <c r="G71" i="20"/>
  <c r="D71" i="20"/>
  <c r="D33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T51" i="18"/>
  <c r="R85" i="18"/>
  <c r="T52" i="18"/>
  <c r="U51" i="18"/>
  <c r="P85" i="18"/>
  <c r="Q86" i="18"/>
  <c r="U52" i="18"/>
  <c r="P86" i="18"/>
  <c r="R86" i="18"/>
  <c r="S85" i="18"/>
  <c r="AF33" i="20"/>
  <c r="A72" i="20"/>
  <c r="C72" i="20"/>
  <c r="C71" i="20"/>
  <c r="B33" i="20"/>
  <c r="B57" i="18" s="1"/>
  <c r="B91" i="18" s="1"/>
  <c r="J33" i="20"/>
  <c r="C73" i="20"/>
  <c r="C33" i="20"/>
  <c r="W33" i="20"/>
  <c r="B30" i="20"/>
  <c r="B54" i="18" s="1"/>
  <c r="B88" i="18" s="1"/>
  <c r="Q30" i="20"/>
  <c r="N30" i="20"/>
  <c r="H30" i="20"/>
  <c r="A69" i="20"/>
  <c r="C69" i="20"/>
  <c r="M30" i="20"/>
  <c r="AA30" i="20"/>
  <c r="T30" i="20"/>
  <c r="C70" i="20"/>
  <c r="C30" i="20"/>
  <c r="C68" i="20"/>
  <c r="V30" i="20"/>
  <c r="BH69" i="20" l="1"/>
  <c r="AF31" i="20" s="1"/>
  <c r="BD69" i="20"/>
  <c r="AD31" i="20" s="1"/>
  <c r="AR69" i="20"/>
  <c r="X31" i="20" s="1"/>
  <c r="AZ69" i="20"/>
  <c r="AB31" i="20" s="1"/>
  <c r="AV69" i="20"/>
  <c r="Z31" i="20" s="1"/>
  <c r="BJ69" i="20"/>
  <c r="BF69" i="20"/>
  <c r="AE31" i="20" s="1"/>
  <c r="BB69" i="20"/>
  <c r="AC31" i="20" s="1"/>
  <c r="BE69" i="20"/>
  <c r="AS69" i="20"/>
  <c r="AQ69" i="20"/>
  <c r="AB69" i="20"/>
  <c r="P31" i="20" s="1"/>
  <c r="V69" i="20"/>
  <c r="M31" i="20" s="1"/>
  <c r="Q69" i="20"/>
  <c r="K69" i="20"/>
  <c r="AO69" i="20"/>
  <c r="AI69" i="20"/>
  <c r="T69" i="20"/>
  <c r="L31" i="20" s="1"/>
  <c r="N69" i="20"/>
  <c r="I31" i="20" s="1"/>
  <c r="AM69" i="20"/>
  <c r="Y69" i="20"/>
  <c r="AN69" i="20"/>
  <c r="AH69" i="20"/>
  <c r="S31" i="20" s="1"/>
  <c r="AC69" i="20"/>
  <c r="W69" i="20"/>
  <c r="H69" i="20"/>
  <c r="F31" i="20" s="1"/>
  <c r="BC69" i="20"/>
  <c r="I69" i="20"/>
  <c r="L69" i="20"/>
  <c r="H31" i="20" s="1"/>
  <c r="R69" i="20"/>
  <c r="AJ69" i="20"/>
  <c r="T31" i="20" s="1"/>
  <c r="S69" i="20"/>
  <c r="BA69" i="20"/>
  <c r="AY69" i="20"/>
  <c r="AF69" i="20"/>
  <c r="R31" i="20" s="1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AK69" i="20"/>
  <c r="AE69" i="20"/>
  <c r="P69" i="20"/>
  <c r="J31" i="20" s="1"/>
  <c r="J69" i="20"/>
  <c r="G31" i="20" s="1"/>
  <c r="AX69" i="20"/>
  <c r="AT69" i="20"/>
  <c r="AD69" i="20"/>
  <c r="Q31" i="20" s="1"/>
  <c r="BH72" i="20"/>
  <c r="BD72" i="20"/>
  <c r="AD34" i="20" s="1"/>
  <c r="AZ72" i="20"/>
  <c r="AB34" i="20" s="1"/>
  <c r="AV72" i="20"/>
  <c r="Z34" i="20" s="1"/>
  <c r="AR72" i="20"/>
  <c r="X34" i="20" s="1"/>
  <c r="AN72" i="20"/>
  <c r="AJ72" i="20"/>
  <c r="T34" i="20" s="1"/>
  <c r="AF72" i="20"/>
  <c r="R34" i="20" s="1"/>
  <c r="AB72" i="20"/>
  <c r="P34" i="20" s="1"/>
  <c r="X72" i="20"/>
  <c r="N34" i="20" s="1"/>
  <c r="T72" i="20"/>
  <c r="L34" i="20" s="1"/>
  <c r="P72" i="20"/>
  <c r="J34" i="20" s="1"/>
  <c r="L72" i="20"/>
  <c r="H72" i="20"/>
  <c r="BI72" i="20"/>
  <c r="BE72" i="20"/>
  <c r="BA72" i="20"/>
  <c r="AW72" i="20"/>
  <c r="AS72" i="20"/>
  <c r="AO72" i="20"/>
  <c r="AK72" i="20"/>
  <c r="AG72" i="20"/>
  <c r="AC72" i="20"/>
  <c r="Y72" i="20"/>
  <c r="U72" i="20"/>
  <c r="Q72" i="20"/>
  <c r="M72" i="20"/>
  <c r="I72" i="20"/>
  <c r="BK72" i="20"/>
  <c r="BG72" i="20"/>
  <c r="BC72" i="20"/>
  <c r="AY72" i="20"/>
  <c r="AU72" i="20"/>
  <c r="AQ72" i="20"/>
  <c r="AM72" i="20"/>
  <c r="AI72" i="20"/>
  <c r="AE72" i="20"/>
  <c r="AA72" i="20"/>
  <c r="W72" i="20"/>
  <c r="S72" i="20"/>
  <c r="O72" i="20"/>
  <c r="K72" i="20"/>
  <c r="AL72" i="20"/>
  <c r="U34" i="20" s="1"/>
  <c r="V72" i="20"/>
  <c r="M34" i="20" s="1"/>
  <c r="BJ72" i="20"/>
  <c r="BF72" i="20"/>
  <c r="AT72" i="20"/>
  <c r="R72" i="20"/>
  <c r="K34" i="20" s="1"/>
  <c r="AH72" i="20"/>
  <c r="S34" i="20" s="1"/>
  <c r="N72" i="20"/>
  <c r="AP72" i="20"/>
  <c r="W34" i="20" s="1"/>
  <c r="J72" i="20"/>
  <c r="G34" i="20" s="1"/>
  <c r="BB72" i="20"/>
  <c r="AC34" i="20" s="1"/>
  <c r="Z72" i="20"/>
  <c r="AD72" i="20"/>
  <c r="Q34" i="20" s="1"/>
  <c r="AX72" i="20"/>
  <c r="AA34" i="20" s="1"/>
  <c r="C54" i="18"/>
  <c r="C88" i="18" s="1"/>
  <c r="C57" i="18"/>
  <c r="D58" i="18" s="1"/>
  <c r="D69" i="20"/>
  <c r="D31" i="20" s="1"/>
  <c r="G69" i="20"/>
  <c r="E69" i="20"/>
  <c r="F69" i="20"/>
  <c r="E31" i="20" s="1"/>
  <c r="G72" i="20"/>
  <c r="D72" i="20"/>
  <c r="D34" i="20" s="1"/>
  <c r="E72" i="20"/>
  <c r="F72" i="20"/>
  <c r="E34" i="20" s="1"/>
  <c r="V51" i="18"/>
  <c r="T49" i="18"/>
  <c r="U49" i="18"/>
  <c r="U48" i="18"/>
  <c r="T48" i="18"/>
  <c r="V52" i="18"/>
  <c r="I34" i="20"/>
  <c r="V34" i="20"/>
  <c r="H34" i="20"/>
  <c r="A73" i="20"/>
  <c r="C34" i="20"/>
  <c r="F34" i="20"/>
  <c r="AE34" i="20"/>
  <c r="O34" i="20"/>
  <c r="Y34" i="20"/>
  <c r="AF34" i="20"/>
  <c r="B34" i="20"/>
  <c r="B58" i="18" s="1"/>
  <c r="B92" i="18" s="1"/>
  <c r="Y31" i="20"/>
  <c r="W31" i="20"/>
  <c r="A70" i="20"/>
  <c r="C31" i="20"/>
  <c r="AA31" i="20"/>
  <c r="K31" i="20"/>
  <c r="V31" i="20"/>
  <c r="B31" i="20"/>
  <c r="B55" i="18" s="1"/>
  <c r="B89" i="18" s="1"/>
  <c r="J55" i="18" l="1"/>
  <c r="N54" i="18"/>
  <c r="L55" i="18"/>
  <c r="R55" i="18"/>
  <c r="P55" i="18"/>
  <c r="L54" i="18"/>
  <c r="O54" i="18"/>
  <c r="O55" i="18"/>
  <c r="I55" i="18"/>
  <c r="F55" i="18"/>
  <c r="S54" i="18"/>
  <c r="I54" i="18"/>
  <c r="G54" i="18"/>
  <c r="G88" i="18" s="1"/>
  <c r="K55" i="18"/>
  <c r="D55" i="18"/>
  <c r="P54" i="18"/>
  <c r="G55" i="18"/>
  <c r="G89" i="18" s="1"/>
  <c r="H55" i="18"/>
  <c r="M54" i="18"/>
  <c r="Q54" i="18"/>
  <c r="Q55" i="18"/>
  <c r="R54" i="18"/>
  <c r="N55" i="18"/>
  <c r="H54" i="18"/>
  <c r="K54" i="18"/>
  <c r="J54" i="18"/>
  <c r="M55" i="18"/>
  <c r="E55" i="18"/>
  <c r="S55" i="18"/>
  <c r="C58" i="18"/>
  <c r="C92" i="18" s="1"/>
  <c r="AZ73" i="20"/>
  <c r="AB35" i="20" s="1"/>
  <c r="AV73" i="20"/>
  <c r="Z35" i="20" s="1"/>
  <c r="BH73" i="20"/>
  <c r="AF35" i="20" s="1"/>
  <c r="BD73" i="20"/>
  <c r="AD35" i="20" s="1"/>
  <c r="AR73" i="20"/>
  <c r="X35" i="20" s="1"/>
  <c r="BJ73" i="20"/>
  <c r="BF73" i="20"/>
  <c r="AE35" i="20" s="1"/>
  <c r="BB73" i="20"/>
  <c r="BI73" i="20"/>
  <c r="AW73" i="20"/>
  <c r="AF73" i="20"/>
  <c r="R35" i="20" s="1"/>
  <c r="Z73" i="20"/>
  <c r="O35" i="20" s="1"/>
  <c r="U73" i="20"/>
  <c r="O73" i="20"/>
  <c r="BG73" i="20"/>
  <c r="BC73" i="20"/>
  <c r="BA73" i="20"/>
  <c r="AH73" i="20"/>
  <c r="S35" i="20" s="1"/>
  <c r="AL73" i="20"/>
  <c r="U35" i="20" s="1"/>
  <c r="AG73" i="20"/>
  <c r="AA73" i="20"/>
  <c r="L73" i="20"/>
  <c r="H35" i="20" s="1"/>
  <c r="AT73" i="20"/>
  <c r="X73" i="20"/>
  <c r="M73" i="20"/>
  <c r="P73" i="20"/>
  <c r="J35" i="20" s="1"/>
  <c r="J73" i="20"/>
  <c r="G35" i="20" s="1"/>
  <c r="Q73" i="20"/>
  <c r="BE73" i="20"/>
  <c r="AU73" i="20"/>
  <c r="AJ73" i="20"/>
  <c r="AD73" i="20"/>
  <c r="Y73" i="20"/>
  <c r="S73" i="20"/>
  <c r="AS73" i="20"/>
  <c r="AP73" i="20"/>
  <c r="W35" i="20" s="1"/>
  <c r="AK73" i="20"/>
  <c r="AE73" i="20"/>
  <c r="V73" i="20"/>
  <c r="M35" i="20" s="1"/>
  <c r="K73" i="20"/>
  <c r="AX73" i="20"/>
  <c r="AA35" i="20" s="1"/>
  <c r="AN73" i="20"/>
  <c r="V35" i="20" s="1"/>
  <c r="AC73" i="20"/>
  <c r="H73" i="20"/>
  <c r="F35" i="20" s="1"/>
  <c r="BK73" i="20"/>
  <c r="AY73" i="20"/>
  <c r="AO73" i="20"/>
  <c r="AI73" i="20"/>
  <c r="T73" i="20"/>
  <c r="L35" i="20" s="1"/>
  <c r="N73" i="20"/>
  <c r="I35" i="20" s="1"/>
  <c r="I73" i="20"/>
  <c r="AM73" i="20"/>
  <c r="R73" i="20"/>
  <c r="K35" i="20" s="1"/>
  <c r="AQ73" i="20"/>
  <c r="AB73" i="20"/>
  <c r="P35" i="20" s="1"/>
  <c r="W73" i="20"/>
  <c r="BJ70" i="20"/>
  <c r="BF70" i="20"/>
  <c r="AE32" i="20" s="1"/>
  <c r="BB70" i="20"/>
  <c r="AC32" i="20" s="1"/>
  <c r="AX70" i="20"/>
  <c r="AA32" i="20" s="1"/>
  <c r="AT70" i="20"/>
  <c r="Y32" i="20" s="1"/>
  <c r="AP70" i="20"/>
  <c r="W32" i="20" s="1"/>
  <c r="AL70" i="20"/>
  <c r="U32" i="20" s="1"/>
  <c r="AH70" i="20"/>
  <c r="AD70" i="20"/>
  <c r="Z70" i="20"/>
  <c r="O32" i="20" s="1"/>
  <c r="V70" i="20"/>
  <c r="M32" i="20" s="1"/>
  <c r="R70" i="20"/>
  <c r="K32" i="20" s="1"/>
  <c r="N70" i="20"/>
  <c r="I32" i="20" s="1"/>
  <c r="J70" i="20"/>
  <c r="G32" i="20" s="1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 s="1"/>
  <c r="BD70" i="20"/>
  <c r="AD32" i="20" s="1"/>
  <c r="AR70" i="20"/>
  <c r="X32" i="20" s="1"/>
  <c r="P70" i="20"/>
  <c r="J32" i="20" s="1"/>
  <c r="AB70" i="20"/>
  <c r="P32" i="20" s="1"/>
  <c r="AF70" i="20"/>
  <c r="AN70" i="20"/>
  <c r="V32" i="20" s="1"/>
  <c r="H70" i="20"/>
  <c r="F32" i="20" s="1"/>
  <c r="AZ70" i="20"/>
  <c r="AB32" i="20" s="1"/>
  <c r="BH70" i="20"/>
  <c r="AF32" i="20" s="1"/>
  <c r="L70" i="20"/>
  <c r="H32" i="20" s="1"/>
  <c r="X70" i="20"/>
  <c r="N32" i="20" s="1"/>
  <c r="T70" i="20"/>
  <c r="L32" i="20" s="1"/>
  <c r="AV70" i="20"/>
  <c r="C55" i="18"/>
  <c r="C89" i="18" s="1"/>
  <c r="G57" i="18"/>
  <c r="G91" i="18" s="1"/>
  <c r="M57" i="18"/>
  <c r="J58" i="18"/>
  <c r="L58" i="18"/>
  <c r="I58" i="18"/>
  <c r="S58" i="18"/>
  <c r="H57" i="18"/>
  <c r="K58" i="18"/>
  <c r="S57" i="18"/>
  <c r="H58" i="18"/>
  <c r="Q57" i="18"/>
  <c r="J57" i="18"/>
  <c r="I57" i="18"/>
  <c r="C91" i="18"/>
  <c r="P91" i="18" s="1"/>
  <c r="P58" i="18"/>
  <c r="L57" i="18"/>
  <c r="Q58" i="18"/>
  <c r="R58" i="18"/>
  <c r="M58" i="18"/>
  <c r="F58" i="18"/>
  <c r="G58" i="18"/>
  <c r="G92" i="18" s="1"/>
  <c r="R57" i="18"/>
  <c r="N57" i="18"/>
  <c r="N58" i="18"/>
  <c r="O58" i="18"/>
  <c r="O57" i="18"/>
  <c r="K57" i="18"/>
  <c r="P57" i="18"/>
  <c r="E58" i="18"/>
  <c r="F70" i="20"/>
  <c r="E32" i="20" s="1"/>
  <c r="E70" i="20"/>
  <c r="G70" i="20"/>
  <c r="D70" i="20"/>
  <c r="D32" i="20" s="1"/>
  <c r="F73" i="20"/>
  <c r="E35" i="20" s="1"/>
  <c r="E73" i="20"/>
  <c r="G73" i="20"/>
  <c r="D73" i="20"/>
  <c r="D35" i="20" s="1"/>
  <c r="V49" i="18"/>
  <c r="V48" i="18"/>
  <c r="Q35" i="20"/>
  <c r="T35" i="20"/>
  <c r="Y35" i="20"/>
  <c r="B35" i="20"/>
  <c r="B59" i="18" s="1"/>
  <c r="B93" i="18" s="1"/>
  <c r="N35" i="20"/>
  <c r="AC35" i="20"/>
  <c r="C35" i="20"/>
  <c r="P89" i="18"/>
  <c r="R89" i="18"/>
  <c r="P88" i="18"/>
  <c r="R88" i="18"/>
  <c r="S89" i="18"/>
  <c r="Q88" i="18"/>
  <c r="Q89" i="18"/>
  <c r="S88" i="18"/>
  <c r="C32" i="20"/>
  <c r="R32" i="20"/>
  <c r="Q32" i="20"/>
  <c r="B32" i="20"/>
  <c r="B56" i="18" s="1"/>
  <c r="B90" i="18" s="1"/>
  <c r="Z32" i="20"/>
  <c r="S32" i="20"/>
  <c r="C59" i="18" l="1"/>
  <c r="C93" i="18" s="1"/>
  <c r="T55" i="18"/>
  <c r="U54" i="18"/>
  <c r="U55" i="18"/>
  <c r="T54" i="18"/>
  <c r="T58" i="18"/>
  <c r="U57" i="18"/>
  <c r="P92" i="18"/>
  <c r="S91" i="18"/>
  <c r="R91" i="18"/>
  <c r="T57" i="18"/>
  <c r="Q91" i="18"/>
  <c r="U58" i="18"/>
  <c r="S92" i="18"/>
  <c r="R92" i="18"/>
  <c r="Q92" i="18"/>
  <c r="C56" i="18"/>
  <c r="C90" i="18" s="1"/>
  <c r="V55" i="18" l="1"/>
  <c r="V54" i="18"/>
  <c r="V58" i="18"/>
  <c r="V27" i="18" s="1"/>
  <c r="D25" i="18" s="1"/>
  <c r="V57" i="18"/>
  <c r="V26" i="18" l="1"/>
  <c r="D24" i="18" s="1"/>
  <c r="E86" i="18"/>
  <c r="D86" i="18"/>
  <c r="F86" i="18"/>
  <c r="F89" i="18"/>
  <c r="D89" i="18"/>
  <c r="E89" i="18"/>
  <c r="E92" i="18"/>
  <c r="D92" i="18"/>
  <c r="F92" i="18"/>
  <c r="E25" i="18" l="1"/>
  <c r="F62" i="18" s="1"/>
  <c r="D65" i="18" s="1"/>
  <c r="S98" i="18" s="1"/>
  <c r="E83" i="18"/>
  <c r="Q117" i="18" s="1"/>
  <c r="D83" i="18"/>
  <c r="P116" i="18" s="1"/>
  <c r="F83" i="18"/>
  <c r="P122" i="18"/>
  <c r="T122" i="18"/>
  <c r="S122" i="18"/>
  <c r="Q122" i="18"/>
  <c r="J89" i="18"/>
  <c r="D123" i="18" s="1"/>
  <c r="K88" i="18"/>
  <c r="E122" i="18" s="1"/>
  <c r="M89" i="18"/>
  <c r="G123" i="18" s="1"/>
  <c r="I89" i="18"/>
  <c r="C123" i="18" s="1"/>
  <c r="I88" i="18"/>
  <c r="C122" i="18" s="1"/>
  <c r="J88" i="18"/>
  <c r="D122" i="18" s="1"/>
  <c r="N88" i="18"/>
  <c r="H122" i="18" s="1"/>
  <c r="L89" i="18"/>
  <c r="F123" i="18" s="1"/>
  <c r="L88" i="18"/>
  <c r="F122" i="18" s="1"/>
  <c r="O88" i="18"/>
  <c r="I122" i="18" s="1"/>
  <c r="H88" i="18"/>
  <c r="B122" i="18" s="1"/>
  <c r="M88" i="18"/>
  <c r="G122" i="18" s="1"/>
  <c r="O89" i="18"/>
  <c r="I123" i="18" s="1"/>
  <c r="H89" i="18"/>
  <c r="B123" i="18" s="1"/>
  <c r="N89" i="18"/>
  <c r="H123" i="18" s="1"/>
  <c r="K89" i="18"/>
  <c r="E123" i="18" s="1"/>
  <c r="H92" i="18"/>
  <c r="B126" i="18" s="1"/>
  <c r="I91" i="18"/>
  <c r="C125" i="18" s="1"/>
  <c r="H91" i="18"/>
  <c r="B125" i="18" s="1"/>
  <c r="I92" i="18"/>
  <c r="C126" i="18" s="1"/>
  <c r="N91" i="18"/>
  <c r="H125" i="18" s="1"/>
  <c r="K92" i="18"/>
  <c r="E126" i="18" s="1"/>
  <c r="L92" i="18"/>
  <c r="F126" i="18" s="1"/>
  <c r="N92" i="18"/>
  <c r="H126" i="18" s="1"/>
  <c r="L91" i="18"/>
  <c r="F125" i="18" s="1"/>
  <c r="O91" i="18"/>
  <c r="I125" i="18" s="1"/>
  <c r="M92" i="18"/>
  <c r="G126" i="18" s="1"/>
  <c r="M91" i="18"/>
  <c r="G125" i="18" s="1"/>
  <c r="K91" i="18"/>
  <c r="E125" i="18" s="1"/>
  <c r="J91" i="18"/>
  <c r="D125" i="18" s="1"/>
  <c r="O92" i="18"/>
  <c r="I126" i="18" s="1"/>
  <c r="J92" i="18"/>
  <c r="D126" i="18" s="1"/>
  <c r="T119" i="18"/>
  <c r="P119" i="18"/>
  <c r="S119" i="18"/>
  <c r="Q119" i="18"/>
  <c r="T125" i="18"/>
  <c r="S125" i="18"/>
  <c r="P125" i="18"/>
  <c r="Q125" i="18"/>
  <c r="J86" i="18"/>
  <c r="D120" i="18" s="1"/>
  <c r="N86" i="18"/>
  <c r="H120" i="18" s="1"/>
  <c r="L85" i="18"/>
  <c r="F119" i="18" s="1"/>
  <c r="I85" i="18"/>
  <c r="C119" i="18" s="1"/>
  <c r="N85" i="18"/>
  <c r="H119" i="18" s="1"/>
  <c r="M86" i="18"/>
  <c r="G120" i="18" s="1"/>
  <c r="I86" i="18"/>
  <c r="C120" i="18" s="1"/>
  <c r="M85" i="18"/>
  <c r="G119" i="18" s="1"/>
  <c r="K86" i="18"/>
  <c r="E120" i="18" s="1"/>
  <c r="L86" i="18"/>
  <c r="F120" i="18" s="1"/>
  <c r="H86" i="18"/>
  <c r="B120" i="18" s="1"/>
  <c r="O85" i="18"/>
  <c r="I119" i="18" s="1"/>
  <c r="K85" i="18"/>
  <c r="E119" i="18" s="1"/>
  <c r="J85" i="18"/>
  <c r="D119" i="18" s="1"/>
  <c r="O86" i="18"/>
  <c r="I120" i="18" s="1"/>
  <c r="H85" i="18"/>
  <c r="B119" i="18" s="1"/>
  <c r="T120" i="18"/>
  <c r="S120" i="18"/>
  <c r="Q120" i="18"/>
  <c r="P120" i="18"/>
  <c r="T126" i="18"/>
  <c r="S126" i="18"/>
  <c r="Q126" i="18"/>
  <c r="P126" i="18"/>
  <c r="T123" i="18"/>
  <c r="S123" i="18"/>
  <c r="P123" i="18"/>
  <c r="Q123" i="18"/>
  <c r="Q98" i="18" l="1"/>
  <c r="D68" i="18"/>
  <c r="P98" i="18"/>
  <c r="E74" i="18"/>
  <c r="S108" i="18" s="1"/>
  <c r="E77" i="18"/>
  <c r="Q111" i="18" s="1"/>
  <c r="F65" i="18"/>
  <c r="K64" i="18" s="1"/>
  <c r="E98" i="18" s="1"/>
  <c r="T98" i="18"/>
  <c r="D74" i="18"/>
  <c r="Q107" i="18" s="1"/>
  <c r="F80" i="18"/>
  <c r="F77" i="18"/>
  <c r="D71" i="18"/>
  <c r="T104" i="18" s="1"/>
  <c r="F74" i="18"/>
  <c r="E71" i="18"/>
  <c r="S105" i="18" s="1"/>
  <c r="D77" i="18"/>
  <c r="T110" i="18" s="1"/>
  <c r="D80" i="18"/>
  <c r="Q113" i="18" s="1"/>
  <c r="F68" i="18"/>
  <c r="E80" i="18"/>
  <c r="T114" i="18" s="1"/>
  <c r="F71" i="18"/>
  <c r="E65" i="18"/>
  <c r="E68" i="18"/>
  <c r="H68" i="18" s="1"/>
  <c r="B102" i="18" s="1"/>
  <c r="M82" i="18"/>
  <c r="G116" i="18" s="1"/>
  <c r="K83" i="18"/>
  <c r="E117" i="18" s="1"/>
  <c r="I82" i="18"/>
  <c r="C116" i="18" s="1"/>
  <c r="K82" i="18"/>
  <c r="E116" i="18" s="1"/>
  <c r="S116" i="18"/>
  <c r="H82" i="18"/>
  <c r="B116" i="18" s="1"/>
  <c r="N116" i="18" s="1"/>
  <c r="L83" i="18"/>
  <c r="F117" i="18" s="1"/>
  <c r="L82" i="18"/>
  <c r="F116" i="18" s="1"/>
  <c r="N82" i="18"/>
  <c r="H116" i="18" s="1"/>
  <c r="N83" i="18"/>
  <c r="H117" i="18" s="1"/>
  <c r="O83" i="18"/>
  <c r="I117" i="18" s="1"/>
  <c r="P117" i="18"/>
  <c r="H83" i="18"/>
  <c r="B117" i="18" s="1"/>
  <c r="J117" i="18" s="1"/>
  <c r="T116" i="18"/>
  <c r="T117" i="18"/>
  <c r="M83" i="18"/>
  <c r="G117" i="18" s="1"/>
  <c r="J83" i="18"/>
  <c r="D117" i="18" s="1"/>
  <c r="I83" i="18"/>
  <c r="C117" i="18" s="1"/>
  <c r="Q116" i="18"/>
  <c r="S117" i="18"/>
  <c r="P113" i="18"/>
  <c r="J82" i="18"/>
  <c r="D116" i="18" s="1"/>
  <c r="O82" i="18"/>
  <c r="I116" i="18" s="1"/>
  <c r="K119" i="18"/>
  <c r="J119" i="18"/>
  <c r="M119" i="18"/>
  <c r="N119" i="18"/>
  <c r="L119" i="18"/>
  <c r="N123" i="18"/>
  <c r="J123" i="18"/>
  <c r="L123" i="18"/>
  <c r="K123" i="18"/>
  <c r="M123" i="18"/>
  <c r="J120" i="18"/>
  <c r="N120" i="18"/>
  <c r="L120" i="18"/>
  <c r="K120" i="18"/>
  <c r="M120" i="18"/>
  <c r="K125" i="18"/>
  <c r="N125" i="18"/>
  <c r="J125" i="18"/>
  <c r="L125" i="18"/>
  <c r="M125" i="18"/>
  <c r="K122" i="18"/>
  <c r="L122" i="18"/>
  <c r="M122" i="18"/>
  <c r="J122" i="18"/>
  <c r="N122" i="18"/>
  <c r="L126" i="18"/>
  <c r="N126" i="18"/>
  <c r="M126" i="18"/>
  <c r="K126" i="18"/>
  <c r="J126" i="18"/>
  <c r="P105" i="18" l="1"/>
  <c r="O64" i="18"/>
  <c r="I98" i="18" s="1"/>
  <c r="M64" i="18"/>
  <c r="G98" i="18" s="1"/>
  <c r="L64" i="18"/>
  <c r="F98" i="18" s="1"/>
  <c r="S110" i="18"/>
  <c r="L74" i="18"/>
  <c r="F108" i="18" s="1"/>
  <c r="Q74" i="18"/>
  <c r="R73" i="18"/>
  <c r="P73" i="18"/>
  <c r="Q73" i="18"/>
  <c r="P74" i="18"/>
  <c r="S74" i="18"/>
  <c r="R74" i="18"/>
  <c r="S73" i="18"/>
  <c r="S71" i="18"/>
  <c r="R71" i="18"/>
  <c r="P70" i="18"/>
  <c r="Q71" i="18"/>
  <c r="P71" i="18"/>
  <c r="Q70" i="18"/>
  <c r="R70" i="18"/>
  <c r="S70" i="18"/>
  <c r="R76" i="18"/>
  <c r="Q77" i="18"/>
  <c r="R77" i="18"/>
  <c r="P77" i="18"/>
  <c r="P76" i="18"/>
  <c r="Q76" i="18"/>
  <c r="S76" i="18"/>
  <c r="S77" i="18"/>
  <c r="Q65" i="18"/>
  <c r="S65" i="18"/>
  <c r="P65" i="18"/>
  <c r="Q64" i="18"/>
  <c r="S64" i="18"/>
  <c r="R64" i="18"/>
  <c r="R65" i="18"/>
  <c r="P64" i="18"/>
  <c r="S68" i="18"/>
  <c r="Q68" i="18"/>
  <c r="K102" i="18" s="1"/>
  <c r="Q67" i="18"/>
  <c r="S67" i="18"/>
  <c r="P68" i="18"/>
  <c r="R67" i="18"/>
  <c r="L101" i="18" s="1"/>
  <c r="P67" i="18"/>
  <c r="R68" i="18"/>
  <c r="L102" i="18" s="1"/>
  <c r="Q110" i="18"/>
  <c r="L65" i="18"/>
  <c r="F99" i="18" s="1"/>
  <c r="P107" i="18"/>
  <c r="S107" i="18"/>
  <c r="J70" i="18"/>
  <c r="D104" i="18" s="1"/>
  <c r="H76" i="18"/>
  <c r="B110" i="18" s="1"/>
  <c r="N110" i="18" s="1"/>
  <c r="L67" i="18"/>
  <c r="F101" i="18" s="1"/>
  <c r="T113" i="18"/>
  <c r="S113" i="18"/>
  <c r="T107" i="18"/>
  <c r="O79" i="18"/>
  <c r="I113" i="18" s="1"/>
  <c r="H65" i="18"/>
  <c r="B99" i="18" s="1"/>
  <c r="T105" i="18"/>
  <c r="Q105" i="18"/>
  <c r="N68" i="18"/>
  <c r="H102" i="18" s="1"/>
  <c r="P104" i="18"/>
  <c r="N71" i="18"/>
  <c r="H105" i="18" s="1"/>
  <c r="K68" i="18"/>
  <c r="E102" i="18" s="1"/>
  <c r="K73" i="18"/>
  <c r="E107" i="18" s="1"/>
  <c r="N80" i="18"/>
  <c r="H114" i="18" s="1"/>
  <c r="T111" i="18"/>
  <c r="L80" i="18"/>
  <c r="F114" i="18" s="1"/>
  <c r="T108" i="18"/>
  <c r="O74" i="18"/>
  <c r="I108" i="18" s="1"/>
  <c r="S111" i="18"/>
  <c r="J74" i="18"/>
  <c r="D108" i="18" s="1"/>
  <c r="K70" i="18"/>
  <c r="E104" i="18" s="1"/>
  <c r="O71" i="18"/>
  <c r="I105" i="18" s="1"/>
  <c r="I76" i="18"/>
  <c r="C110" i="18" s="1"/>
  <c r="I77" i="18"/>
  <c r="C111" i="18" s="1"/>
  <c r="L76" i="18"/>
  <c r="F110" i="18" s="1"/>
  <c r="K77" i="18"/>
  <c r="E111" i="18" s="1"/>
  <c r="N74" i="18"/>
  <c r="H108" i="18" s="1"/>
  <c r="M76" i="18"/>
  <c r="G110" i="18" s="1"/>
  <c r="J65" i="18"/>
  <c r="D99" i="18" s="1"/>
  <c r="J77" i="18"/>
  <c r="D111" i="18" s="1"/>
  <c r="P111" i="18"/>
  <c r="M65" i="18"/>
  <c r="G99" i="18" s="1"/>
  <c r="S104" i="18"/>
  <c r="O65" i="18"/>
  <c r="I99" i="18" s="1"/>
  <c r="N70" i="18"/>
  <c r="H104" i="18" s="1"/>
  <c r="K65" i="18"/>
  <c r="E99" i="18" s="1"/>
  <c r="P108" i="18"/>
  <c r="J73" i="18"/>
  <c r="D107" i="18" s="1"/>
  <c r="O70" i="18"/>
  <c r="I104" i="18" s="1"/>
  <c r="H73" i="18"/>
  <c r="B107" i="18" s="1"/>
  <c r="N107" i="18" s="1"/>
  <c r="L68" i="18"/>
  <c r="F102" i="18" s="1"/>
  <c r="J71" i="18"/>
  <c r="D105" i="18" s="1"/>
  <c r="M77" i="18"/>
  <c r="G111" i="18" s="1"/>
  <c r="M71" i="18"/>
  <c r="G105" i="18" s="1"/>
  <c r="J68" i="18"/>
  <c r="D102" i="18" s="1"/>
  <c r="O77" i="18"/>
  <c r="I111" i="18" s="1"/>
  <c r="O73" i="18"/>
  <c r="I107" i="18" s="1"/>
  <c r="Q104" i="18"/>
  <c r="M68" i="18"/>
  <c r="G102" i="18" s="1"/>
  <c r="P101" i="18"/>
  <c r="T101" i="18"/>
  <c r="Q101" i="18"/>
  <c r="S101" i="18"/>
  <c r="P99" i="18"/>
  <c r="S99" i="18"/>
  <c r="T99" i="18"/>
  <c r="Q99" i="18"/>
  <c r="I79" i="18"/>
  <c r="C113" i="18" s="1"/>
  <c r="J79" i="18"/>
  <c r="D113" i="18" s="1"/>
  <c r="N76" i="18"/>
  <c r="H110" i="18" s="1"/>
  <c r="K71" i="18"/>
  <c r="E105" i="18" s="1"/>
  <c r="I64" i="18"/>
  <c r="C98" i="18" s="1"/>
  <c r="L77" i="18"/>
  <c r="F111" i="18" s="1"/>
  <c r="H74" i="18"/>
  <c r="B108" i="18" s="1"/>
  <c r="J108" i="18" s="1"/>
  <c r="M70" i="18"/>
  <c r="G104" i="18" s="1"/>
  <c r="I70" i="18"/>
  <c r="C104" i="18" s="1"/>
  <c r="M67" i="18"/>
  <c r="G101" i="18" s="1"/>
  <c r="M80" i="18"/>
  <c r="G114" i="18" s="1"/>
  <c r="Q114" i="18"/>
  <c r="T102" i="18"/>
  <c r="P102" i="18"/>
  <c r="Q102" i="18"/>
  <c r="S102" i="18"/>
  <c r="M79" i="18"/>
  <c r="G113" i="18" s="1"/>
  <c r="P114" i="18"/>
  <c r="O68" i="18"/>
  <c r="I102" i="18" s="1"/>
  <c r="J76" i="18"/>
  <c r="D110" i="18" s="1"/>
  <c r="L70" i="18"/>
  <c r="F104" i="18" s="1"/>
  <c r="Q108" i="18"/>
  <c r="H79" i="18"/>
  <c r="B113" i="18" s="1"/>
  <c r="M113" i="18" s="1"/>
  <c r="P110" i="18"/>
  <c r="M74" i="18"/>
  <c r="G108" i="18" s="1"/>
  <c r="K67" i="18"/>
  <c r="E101" i="18" s="1"/>
  <c r="H77" i="18"/>
  <c r="B111" i="18" s="1"/>
  <c r="M111" i="18" s="1"/>
  <c r="H80" i="18"/>
  <c r="B114" i="18" s="1"/>
  <c r="N114" i="18" s="1"/>
  <c r="K80" i="18"/>
  <c r="E114" i="18" s="1"/>
  <c r="S114" i="18"/>
  <c r="H70" i="18"/>
  <c r="B104" i="18" s="1"/>
  <c r="M104" i="18" s="1"/>
  <c r="I74" i="18"/>
  <c r="C108" i="18" s="1"/>
  <c r="K74" i="18"/>
  <c r="E108" i="18" s="1"/>
  <c r="H71" i="18"/>
  <c r="B105" i="18" s="1"/>
  <c r="L73" i="18"/>
  <c r="F107" i="18" s="1"/>
  <c r="H67" i="18"/>
  <c r="B101" i="18" s="1"/>
  <c r="K101" i="18" s="1"/>
  <c r="M73" i="18"/>
  <c r="G107" i="18" s="1"/>
  <c r="I71" i="18"/>
  <c r="C105" i="18" s="1"/>
  <c r="L71" i="18"/>
  <c r="F105" i="18" s="1"/>
  <c r="K76" i="18"/>
  <c r="E110" i="18" s="1"/>
  <c r="I73" i="18"/>
  <c r="C107" i="18" s="1"/>
  <c r="I67" i="18"/>
  <c r="C101" i="18" s="1"/>
  <c r="O76" i="18"/>
  <c r="I110" i="18" s="1"/>
  <c r="I80" i="18"/>
  <c r="C114" i="18" s="1"/>
  <c r="I65" i="18"/>
  <c r="C99" i="18" s="1"/>
  <c r="N64" i="18"/>
  <c r="H98" i="18" s="1"/>
  <c r="L79" i="18"/>
  <c r="F113" i="18" s="1"/>
  <c r="K79" i="18"/>
  <c r="E113" i="18" s="1"/>
  <c r="O80" i="18"/>
  <c r="I114" i="18" s="1"/>
  <c r="J80" i="18"/>
  <c r="D114" i="18" s="1"/>
  <c r="J64" i="18"/>
  <c r="D98" i="18" s="1"/>
  <c r="J67" i="18"/>
  <c r="D101" i="18" s="1"/>
  <c r="H64" i="18"/>
  <c r="B98" i="18" s="1"/>
  <c r="M98" i="18" s="1"/>
  <c r="N67" i="18"/>
  <c r="H101" i="18" s="1"/>
  <c r="N65" i="18"/>
  <c r="H99" i="18" s="1"/>
  <c r="N77" i="18"/>
  <c r="H111" i="18" s="1"/>
  <c r="N79" i="18"/>
  <c r="H113" i="18" s="1"/>
  <c r="I68" i="18"/>
  <c r="C102" i="18" s="1"/>
  <c r="O67" i="18"/>
  <c r="I101" i="18" s="1"/>
  <c r="N73" i="18"/>
  <c r="H107" i="18" s="1"/>
  <c r="L99" i="18"/>
  <c r="L116" i="18"/>
  <c r="J116" i="18"/>
  <c r="M116" i="18"/>
  <c r="N102" i="18"/>
  <c r="K116" i="18"/>
  <c r="N101" i="18"/>
  <c r="M102" i="18"/>
  <c r="L117" i="18"/>
  <c r="J102" i="18"/>
  <c r="K117" i="18"/>
  <c r="J111" i="18"/>
  <c r="J101" i="18"/>
  <c r="J110" i="18"/>
  <c r="M117" i="18"/>
  <c r="N117" i="18"/>
  <c r="L105" i="18" l="1"/>
  <c r="L110" i="18"/>
  <c r="K99" i="18"/>
  <c r="M110" i="18"/>
  <c r="K110" i="18"/>
  <c r="M99" i="18"/>
  <c r="J104" i="18"/>
  <c r="J99" i="18"/>
  <c r="N99" i="18"/>
  <c r="N108" i="18"/>
  <c r="N104" i="18"/>
  <c r="J107" i="18"/>
  <c r="K108" i="18"/>
  <c r="M108" i="18"/>
  <c r="K113" i="18"/>
  <c r="L108" i="18"/>
  <c r="L107" i="18"/>
  <c r="K107" i="18"/>
  <c r="L113" i="18"/>
  <c r="J113" i="18"/>
  <c r="M107" i="18"/>
  <c r="K104" i="18"/>
  <c r="N113" i="18"/>
  <c r="L104" i="18"/>
  <c r="N111" i="18"/>
  <c r="M105" i="18"/>
  <c r="J105" i="18"/>
  <c r="N98" i="18"/>
  <c r="J98" i="18"/>
  <c r="K98" i="18"/>
  <c r="L98" i="18"/>
  <c r="J114" i="18"/>
  <c r="K105" i="18"/>
  <c r="K111" i="18"/>
  <c r="N105" i="18"/>
  <c r="M114" i="18"/>
  <c r="L111" i="18"/>
  <c r="K114" i="18"/>
  <c r="M101" i="18"/>
  <c r="L114" i="18"/>
</calcChain>
</file>

<file path=xl/sharedStrings.xml><?xml version="1.0" encoding="utf-8"?>
<sst xmlns="http://schemas.openxmlformats.org/spreadsheetml/2006/main" count="548" uniqueCount="99">
  <si>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</si>
  <si>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</si>
  <si>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</si>
  <si>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</si>
  <si>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</si>
  <si>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</si>
  <si>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</si>
  <si>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</si>
  <si>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</si>
  <si>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</si>
  <si>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</si>
  <si>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</si>
  <si>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</si>
  <si>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</si>
  <si>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</si>
  <si>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</si>
  <si>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</si>
  <si>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</si>
  <si>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</si>
  <si>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</si>
  <si>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</si>
  <si>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</si>
  <si>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</si>
  <si>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</si>
  <si>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</si>
  <si>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</si>
  <si>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</si>
  <si>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</si>
  <si>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</si>
  <si>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</si>
  <si>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</si>
  <si>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</si>
  <si>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</si>
  <si>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</si>
  <si>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</si>
  <si>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</si>
  <si>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</si>
  <si>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</si>
  <si>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</si>
  <si>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</si>
  <si>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</si>
  <si>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</si>
  <si>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</si>
  <si>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</si>
  <si>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</si>
  <si>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</si>
  <si>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</si>
  <si>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</si>
  <si>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</si>
  <si>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</si>
  <si>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</si>
  <si>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</si>
  <si>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</si>
  <si>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</si>
  <si>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</si>
  <si>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</si>
  <si>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</si>
  <si>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</si>
  <si>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</si>
  <si>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</si>
  <si>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</si>
  <si>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</si>
  <si>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</si>
  <si>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</si>
  <si>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</si>
  <si>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</si>
  <si>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</si>
  <si>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</si>
  <si>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</si>
  <si>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</si>
  <si>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</si>
  <si>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</si>
  <si>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</si>
  <si>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</si>
  <si>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</si>
  <si>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</si>
  <si>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</si>
  <si>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</si>
  <si>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</si>
  <si>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</si>
  <si>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</si>
  <si>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</si>
  <si>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</si>
  <si>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</si>
  <si>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</si>
  <si>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</si>
  <si>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</si>
  <si>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</si>
  <si>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</si>
  <si>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</si>
  <si>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</si>
  <si>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</si>
  <si>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</si>
  <si>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</si>
  <si>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</si>
  <si>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CondCar  5</t>
  </si>
  <si>
    <t>CondCar  6</t>
  </si>
  <si>
    <t>CondCar  7</t>
  </si>
  <si>
    <t>CondCar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</si>
</sst>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-2.3749609746501923</c:v>
                </c:pt>
                <c:pt idx="1">
                  <c:v>-2.178761313133867</c:v>
                </c:pt>
                <c:pt idx="2">
                  <c:v>1.1190597917174649</c:v>
                </c:pt>
                <c:pt idx="3">
                  <c:v>1.1844596788895734</c:v>
                </c:pt>
                <c:pt idx="4">
                  <c:v>4.7820827023637538</c:v>
                </c:pt>
                <c:pt idx="5">
                  <c:v>4.7166828151916453</c:v>
                </c:pt>
                <c:pt idx="6">
                  <c:v>20.00658066495691</c:v>
                </c:pt>
                <c:pt idx="7">
                  <c:v>20.07198055212902</c:v>
                </c:pt>
                <c:pt idx="8">
                  <c:v>23.669603575603201</c:v>
                </c:pt>
                <c:pt idx="9">
                  <c:v>23.211804365398443</c:v>
                </c:pt>
                <c:pt idx="10">
                  <c:v>0.72666046868481571</c:v>
                </c:pt>
                <c:pt idx="11">
                  <c:v>0.92286013020114099</c:v>
                </c:pt>
                <c:pt idx="12">
                  <c:v>-2.3749609746501923</c:v>
                </c:pt>
                <c:pt idx="14">
                  <c:v>10.16975948060583</c:v>
                </c:pt>
                <c:pt idx="15">
                  <c:v>11.717759480605832</c:v>
                </c:pt>
                <c:pt idx="17">
                  <c:v>10.943759480605831</c:v>
                </c:pt>
                <c:pt idx="18">
                  <c:v>10.943759480605831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5.8960078016534414</c:v>
                </c:pt>
                <c:pt idx="1">
                  <c:v>11.292442336864712</c:v>
                </c:pt>
                <c:pt idx="2">
                  <c:v>11.172542543715846</c:v>
                </c:pt>
                <c:pt idx="3">
                  <c:v>12.971354055452935</c:v>
                </c:pt>
                <c:pt idx="4">
                  <c:v>12.840554281108719</c:v>
                </c:pt>
                <c:pt idx="5">
                  <c:v>11.041742769371631</c:v>
                </c:pt>
                <c:pt idx="6">
                  <c:v>10.48584372840871</c:v>
                </c:pt>
                <c:pt idx="7">
                  <c:v>12.284655240145799</c:v>
                </c:pt>
                <c:pt idx="8">
                  <c:v>12.153855465801582</c:v>
                </c:pt>
                <c:pt idx="9">
                  <c:v>-0.43782511635804827</c:v>
                </c:pt>
                <c:pt idx="10">
                  <c:v>0.37967347329330486</c:v>
                </c:pt>
                <c:pt idx="11">
                  <c:v>5.7761080085045764</c:v>
                </c:pt>
                <c:pt idx="12">
                  <c:v>5.8960078016534414</c:v>
                </c:pt>
                <c:pt idx="14">
                  <c:v>5.8143334630173999</c:v>
                </c:pt>
                <c:pt idx="15">
                  <c:v>5.8143334630173999</c:v>
                </c:pt>
                <c:pt idx="17">
                  <c:v>5.0403334630173999</c:v>
                </c:pt>
                <c:pt idx="18">
                  <c:v>6.5883334630174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DC-4A0F-B8B9-2B534BF26F01}"/>
            </c:ext>
          </c:extLst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-0.19136665286394702</c:v>
                </c:pt>
                <c:pt idx="1">
                  <c:v>-0.15439843593609948</c:v>
                </c:pt>
                <c:pt idx="2">
                  <c:v>3.145524232192316</c:v>
                </c:pt>
                <c:pt idx="3">
                  <c:v>3.1578469711682651</c:v>
                </c:pt>
                <c:pt idx="4">
                  <c:v>6.757762609126539</c:v>
                </c:pt>
                <c:pt idx="5">
                  <c:v>6.74543987015059</c:v>
                </c:pt>
                <c:pt idx="6">
                  <c:v>22.045081331473252</c:v>
                </c:pt>
                <c:pt idx="7">
                  <c:v>22.057404070449202</c:v>
                </c:pt>
                <c:pt idx="8">
                  <c:v>25.657319708407474</c:v>
                </c:pt>
                <c:pt idx="9">
                  <c:v>25.571060535575832</c:v>
                </c:pt>
                <c:pt idx="10">
                  <c:v>3.0715877983366235</c:v>
                </c:pt>
                <c:pt idx="11">
                  <c:v>3.1085560152644702</c:v>
                </c:pt>
                <c:pt idx="12">
                  <c:v>-0.19136665286394702</c:v>
                </c:pt>
                <c:pt idx="14">
                  <c:v>12.349969436109451</c:v>
                </c:pt>
                <c:pt idx="15">
                  <c:v>13.897969436109452</c:v>
                </c:pt>
                <c:pt idx="17">
                  <c:v>13.123969436109451</c:v>
                </c:pt>
                <c:pt idx="18">
                  <c:v>13.123969436109451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5.492999267916467</c:v>
                </c:pt>
                <c:pt idx="1">
                  <c:v>10.892872724853879</c:v>
                </c:pt>
                <c:pt idx="2">
                  <c:v>10.870281036731305</c:v>
                </c:pt>
                <c:pt idx="3">
                  <c:v>12.670238855710441</c:v>
                </c:pt>
                <c:pt idx="4">
                  <c:v>12.645593377758544</c:v>
                </c:pt>
                <c:pt idx="5">
                  <c:v>10.845635558779406</c:v>
                </c:pt>
                <c:pt idx="6">
                  <c:v>10.740892277483841</c:v>
                </c:pt>
                <c:pt idx="7">
                  <c:v>12.540850096462977</c:v>
                </c:pt>
                <c:pt idx="8">
                  <c:v>12.516204618511079</c:v>
                </c:pt>
                <c:pt idx="9">
                  <c:v>-8.3500114342877241E-2</c:v>
                </c:pt>
                <c:pt idx="10">
                  <c:v>7.0534122856483264E-2</c:v>
                </c:pt>
                <c:pt idx="11">
                  <c:v>5.4704075797938945</c:v>
                </c:pt>
                <c:pt idx="12">
                  <c:v>5.492999267916467</c:v>
                </c:pt>
                <c:pt idx="14">
                  <c:v>5.8041424833806792</c:v>
                </c:pt>
                <c:pt idx="15">
                  <c:v>5.8041424833806792</c:v>
                </c:pt>
                <c:pt idx="17">
                  <c:v>5.0301424833806792</c:v>
                </c:pt>
                <c:pt idx="18">
                  <c:v>6.5781424833806792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DC-4A0F-B8B9-2B534BF26F01}"/>
            </c:ext>
          </c:extLst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1.5111100625458307</c:v>
                </c:pt>
                <c:pt idx="1">
                  <c:v>1.4266158662190211</c:v>
                </c:pt>
                <c:pt idx="2">
                  <c:v>4.7262118704952893</c:v>
                </c:pt>
                <c:pt idx="3">
                  <c:v>4.698047138386352</c:v>
                </c:pt>
                <c:pt idx="4">
                  <c:v>8.2976064157786453</c:v>
                </c:pt>
                <c:pt idx="5">
                  <c:v>8.3257711478875827</c:v>
                </c:pt>
                <c:pt idx="6">
                  <c:v>23.623898076804828</c:v>
                </c:pt>
                <c:pt idx="7">
                  <c:v>23.595733344695887</c:v>
                </c:pt>
                <c:pt idx="8">
                  <c:v>27.195292622088182</c:v>
                </c:pt>
                <c:pt idx="9">
                  <c:v>27.392445746850743</c:v>
                </c:pt>
                <c:pt idx="10">
                  <c:v>4.8952002631489089</c:v>
                </c:pt>
                <c:pt idx="11">
                  <c:v>4.8107060668220996</c:v>
                </c:pt>
                <c:pt idx="12">
                  <c:v>1.5111100625458307</c:v>
                </c:pt>
                <c:pt idx="14">
                  <c:v>14.042079545070411</c:v>
                </c:pt>
                <c:pt idx="15">
                  <c:v>15.590079545070413</c:v>
                </c:pt>
                <c:pt idx="17">
                  <c:v>14.816079545070412</c:v>
                </c:pt>
                <c:pt idx="18">
                  <c:v>14.816079545070412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5.1862907167715866</c:v>
                </c:pt>
                <c:pt idx="1">
                  <c:v>10.585629632860027</c:v>
                </c:pt>
                <c:pt idx="2">
                  <c:v>10.637264975059743</c:v>
                </c:pt>
                <c:pt idx="3">
                  <c:v>12.437044613755889</c:v>
                </c:pt>
                <c:pt idx="4">
                  <c:v>12.493374077973764</c:v>
                </c:pt>
                <c:pt idx="5">
                  <c:v>10.693594439277616</c:v>
                </c:pt>
                <c:pt idx="6">
                  <c:v>10.93299466220358</c:v>
                </c:pt>
                <c:pt idx="7">
                  <c:v>12.732774300899726</c:v>
                </c:pt>
                <c:pt idx="8">
                  <c:v>12.789103765117598</c:v>
                </c:pt>
                <c:pt idx="9">
                  <c:v>0.19064629424457344</c:v>
                </c:pt>
                <c:pt idx="10">
                  <c:v>-0.16141285711713677</c:v>
                </c:pt>
                <c:pt idx="11">
                  <c:v>5.2379260589713033</c:v>
                </c:pt>
                <c:pt idx="12">
                  <c:v>5.1862907167715866</c:v>
                </c:pt>
                <c:pt idx="14">
                  <c:v>5.7968415598111935</c:v>
                </c:pt>
                <c:pt idx="15">
                  <c:v>5.7968415598111935</c:v>
                </c:pt>
                <c:pt idx="17">
                  <c:v>5.0228415598111935</c:v>
                </c:pt>
                <c:pt idx="18">
                  <c:v>6.5708415598111936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DC-4A0F-B8B9-2B534BF26F01}"/>
            </c:ext>
          </c:extLst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1.9742416845254633</c:v>
                </c:pt>
                <c:pt idx="1">
                  <c:v>1.85584502706254</c:v>
                </c:pt>
                <c:pt idx="2">
                  <c:v>5.1550517452255429</c:v>
                </c:pt>
                <c:pt idx="3">
                  <c:v>5.1155861927379007</c:v>
                </c:pt>
                <c:pt idx="4">
                  <c:v>8.7147207943702689</c:v>
                </c:pt>
                <c:pt idx="5">
                  <c:v>8.7541863468579102</c:v>
                </c:pt>
                <c:pt idx="6">
                  <c:v>24.050508403795472</c:v>
                </c:pt>
                <c:pt idx="7">
                  <c:v>24.011042851307828</c:v>
                </c:pt>
                <c:pt idx="8">
                  <c:v>27.610177452940199</c:v>
                </c:pt>
                <c:pt idx="9">
                  <c:v>27.886436320353692</c:v>
                </c:pt>
                <c:pt idx="10">
                  <c:v>5.3918450601513923</c:v>
                </c:pt>
                <c:pt idx="11">
                  <c:v>5.2734484026884676</c:v>
                </c:pt>
                <c:pt idx="12">
                  <c:v>1.9742416845254633</c:v>
                </c:pt>
                <c:pt idx="14">
                  <c:v>14.501115020219332</c:v>
                </c:pt>
                <c:pt idx="15">
                  <c:v>16.049115020219336</c:v>
                </c:pt>
                <c:pt idx="17">
                  <c:v>15.275115020219333</c:v>
                </c:pt>
                <c:pt idx="18">
                  <c:v>15.275115020219333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5.1013529311503882</c:v>
                </c:pt>
                <c:pt idx="1">
                  <c:v>10.50005483359894</c:v>
                </c:pt>
                <c:pt idx="2">
                  <c:v>10.572408346492949</c:v>
                </c:pt>
                <c:pt idx="3">
                  <c:v>12.371975647309132</c:v>
                </c:pt>
                <c:pt idx="4">
                  <c:v>12.450906752284416</c:v>
                </c:pt>
                <c:pt idx="5">
                  <c:v>10.651339451468232</c:v>
                </c:pt>
                <c:pt idx="6">
                  <c:v>10.986796647613188</c:v>
                </c:pt>
                <c:pt idx="7">
                  <c:v>12.78636394842937</c:v>
                </c:pt>
                <c:pt idx="8">
                  <c:v>12.865295053404655</c:v>
                </c:pt>
                <c:pt idx="9">
                  <c:v>0.26832394769136875</c:v>
                </c:pt>
                <c:pt idx="10">
                  <c:v>-0.22499545840415439</c:v>
                </c:pt>
                <c:pt idx="11">
                  <c:v>5.1737064440443978</c:v>
                </c:pt>
                <c:pt idx="12">
                  <c:v>5.1013529311503882</c:v>
                </c:pt>
                <c:pt idx="14">
                  <c:v>5.7954377751533706</c:v>
                </c:pt>
                <c:pt idx="15">
                  <c:v>5.7954377751533706</c:v>
                </c:pt>
                <c:pt idx="17">
                  <c:v>5.0214377751533705</c:v>
                </c:pt>
                <c:pt idx="18">
                  <c:v>6.5694377751533706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7DC-4A0F-B8B9-2B534BF26F01}"/>
            </c:ext>
          </c:extLst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1.2851436293815353</c:v>
                </c:pt>
                <c:pt idx="1">
                  <c:v>1.2083897840512341</c:v>
                </c:pt>
                <c:pt idx="2">
                  <c:v>4.5080564200911937</c:v>
                </c:pt>
                <c:pt idx="3">
                  <c:v>4.4824718049810928</c:v>
                </c:pt>
                <c:pt idx="4">
                  <c:v>8.0821081352065072</c:v>
                </c:pt>
                <c:pt idx="5">
                  <c:v>8.1076927503166072</c:v>
                </c:pt>
                <c:pt idx="6">
                  <c:v>23.406147153774608</c:v>
                </c:pt>
                <c:pt idx="7">
                  <c:v>23.380562538664506</c:v>
                </c:pt>
                <c:pt idx="8">
                  <c:v>26.980198868889918</c:v>
                </c:pt>
                <c:pt idx="9">
                  <c:v>27.159291174660623</c:v>
                </c:pt>
                <c:pt idx="10">
                  <c:v>4.6615641107517973</c:v>
                </c:pt>
                <c:pt idx="11">
                  <c:v>4.5848102654214955</c:v>
                </c:pt>
                <c:pt idx="12">
                  <c:v>1.2851436293815353</c:v>
                </c:pt>
                <c:pt idx="14">
                  <c:v>13.816974700354468</c:v>
                </c:pt>
                <c:pt idx="15">
                  <c:v>15.36497470035447</c:v>
                </c:pt>
                <c:pt idx="17">
                  <c:v>14.590974700354469</c:v>
                </c:pt>
                <c:pt idx="18">
                  <c:v>14.590974700354469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5.206896659035027</c:v>
                </c:pt>
                <c:pt idx="1">
                  <c:v>10.606351154373145</c:v>
                </c:pt>
                <c:pt idx="2">
                  <c:v>10.653256282074997</c:v>
                </c:pt>
                <c:pt idx="3">
                  <c:v>12.453074447187701</c:v>
                </c:pt>
                <c:pt idx="4">
                  <c:v>12.504243677407903</c:v>
                </c:pt>
                <c:pt idx="5">
                  <c:v>10.704425512295197</c:v>
                </c:pt>
                <c:pt idx="6">
                  <c:v>10.921894740731053</c:v>
                </c:pt>
                <c:pt idx="7">
                  <c:v>12.721712905843759</c:v>
                </c:pt>
                <c:pt idx="8">
                  <c:v>12.772882136063959</c:v>
                </c:pt>
                <c:pt idx="9">
                  <c:v>0.17415498027501791</c:v>
                </c:pt>
                <c:pt idx="10">
                  <c:v>-0.14565270860124158</c:v>
                </c:pt>
                <c:pt idx="11">
                  <c:v>5.2538017867368776</c:v>
                </c:pt>
                <c:pt idx="12">
                  <c:v>5.206896659035027</c:v>
                </c:pt>
                <c:pt idx="14">
                  <c:v>5.7983734325249561</c:v>
                </c:pt>
                <c:pt idx="15">
                  <c:v>5.7983734325249561</c:v>
                </c:pt>
                <c:pt idx="17">
                  <c:v>5.0243734325249561</c:v>
                </c:pt>
                <c:pt idx="18">
                  <c:v>6.5723734325249561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7DC-4A0F-B8B9-2B534BF26F01}"/>
            </c:ext>
          </c:extLst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7DC-4A0F-B8B9-2B534BF26F01}"/>
            </c:ext>
          </c:extLst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7DC-4A0F-B8B9-2B534BF26F01}"/>
            </c:ext>
          </c:extLst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7DC-4A0F-B8B9-2B534BF26F01}"/>
            </c:ext>
          </c:extLst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7DC-4A0F-B8B9-2B534BF26F01}"/>
            </c:ext>
          </c:extLst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7DC-4A0F-B8B9-2B534BF26F01}"/>
            </c:ext>
          </c:extLst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3.3</c:v>
                </c:pt>
                <c:pt idx="3">
                  <c:v>3.3</c:v>
                </c:pt>
                <c:pt idx="4">
                  <c:v>6.9</c:v>
                </c:pt>
                <c:pt idx="5">
                  <c:v>6.9</c:v>
                </c:pt>
                <c:pt idx="6">
                  <c:v>22.2</c:v>
                </c:pt>
                <c:pt idx="7">
                  <c:v>22.2</c:v>
                </c:pt>
                <c:pt idx="8">
                  <c:v>25.8</c:v>
                </c:pt>
                <c:pt idx="9">
                  <c:v>25.8</c:v>
                </c:pt>
                <c:pt idx="10">
                  <c:v>3.3</c:v>
                </c:pt>
                <c:pt idx="11">
                  <c:v>3.3</c:v>
                </c:pt>
                <c:pt idx="12">
                  <c:v>0</c:v>
                </c:pt>
                <c:pt idx="14">
                  <c:v>12.538893982808023</c:v>
                </c:pt>
                <c:pt idx="15">
                  <c:v>14.086893982808025</c:v>
                </c:pt>
                <c:pt idx="17">
                  <c:v>13.312893982808024</c:v>
                </c:pt>
                <c:pt idx="18">
                  <c:v>13.312893982808024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5.4</c:v>
                </c:pt>
                <c:pt idx="1">
                  <c:v>10.8</c:v>
                </c:pt>
                <c:pt idx="2">
                  <c:v>10.8</c:v>
                </c:pt>
                <c:pt idx="3">
                  <c:v>12.6</c:v>
                </c:pt>
                <c:pt idx="4">
                  <c:v>12.6</c:v>
                </c:pt>
                <c:pt idx="5">
                  <c:v>10.8</c:v>
                </c:pt>
                <c:pt idx="6">
                  <c:v>10.8</c:v>
                </c:pt>
                <c:pt idx="7">
                  <c:v>12.6</c:v>
                </c:pt>
                <c:pt idx="8">
                  <c:v>12.6</c:v>
                </c:pt>
                <c:pt idx="9">
                  <c:v>0</c:v>
                </c:pt>
                <c:pt idx="10">
                  <c:v>0</c:v>
                </c:pt>
                <c:pt idx="11">
                  <c:v>5.4</c:v>
                </c:pt>
                <c:pt idx="12">
                  <c:v>5.4</c:v>
                </c:pt>
                <c:pt idx="14">
                  <c:v>5.8022922636103162</c:v>
                </c:pt>
                <c:pt idx="15">
                  <c:v>5.8022922636103162</c:v>
                </c:pt>
                <c:pt idx="17">
                  <c:v>5.0282922636103162</c:v>
                </c:pt>
                <c:pt idx="18">
                  <c:v>6.5762922636103163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7DC-4A0F-B8B9-2B534BF26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57632"/>
        <c:axId val="122359168"/>
      </c:scatterChart>
      <c:valAx>
        <c:axId val="1223576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359168"/>
        <c:crosses val="autoZero"/>
        <c:crossBetween val="midCat"/>
        <c:majorUnit val="5"/>
      </c:valAx>
      <c:valAx>
        <c:axId val="12235916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22357632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>
          <a:extLst>
            <a:ext uri="{FF2B5EF4-FFF2-40B4-BE49-F238E27FC236}">
              <a16:creationId xmlns:a16="http://schemas.microsoft.com/office/drawing/2014/main" id="{00000000-0008-0000-0200-000014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3"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93</v>
      </c>
      <c r="C1" s="28" t="s">
        <v>94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9"/>
  <sheetViews>
    <sheetView workbookViewId="0">
      <selection activeCell="O9" sqref="O9"/>
    </sheetView>
  </sheetViews>
  <sheetFormatPr defaultRowHeight="12.75" x14ac:dyDescent="0.2"/>
  <cols>
    <col min="1" max="5" width="9.140625" style="1"/>
    <col min="6" max="6" width="12" style="1" customWidth="1"/>
    <col min="7" max="7" width="11.7109375" style="1" customWidth="1"/>
    <col min="8" max="8" width="12.140625" style="1" customWidth="1"/>
    <col min="9" max="9" width="11" style="1" customWidth="1"/>
    <col min="10" max="10" width="10.140625" style="1" customWidth="1"/>
    <col min="11" max="11" width="10" style="1" customWidth="1"/>
    <col min="12" max="12" width="10.5703125" style="1" customWidth="1"/>
    <col min="13" max="13" width="10.28515625" style="1" customWidth="1"/>
    <col min="14" max="16384" width="9.140625" style="1"/>
  </cols>
  <sheetData>
    <row r="1" spans="1:13" x14ac:dyDescent="0.2">
      <c r="A1" s="1" t="s">
        <v>81</v>
      </c>
      <c r="B1" s="1" t="s">
        <v>3</v>
      </c>
      <c r="C1" s="1" t="s">
        <v>5</v>
      </c>
      <c r="D1" s="1" t="s">
        <v>4</v>
      </c>
      <c r="F1" s="1" t="s">
        <v>82</v>
      </c>
      <c r="G1" s="1" t="s">
        <v>83</v>
      </c>
      <c r="H1" s="1" t="s">
        <v>84</v>
      </c>
      <c r="I1" s="1" t="s">
        <v>85</v>
      </c>
      <c r="J1" s="1" t="s">
        <v>95</v>
      </c>
      <c r="K1" s="1" t="s">
        <v>96</v>
      </c>
      <c r="L1" s="1" t="s">
        <v>97</v>
      </c>
      <c r="M1" s="1" t="s">
        <v>98</v>
      </c>
    </row>
    <row r="2" spans="1:13" x14ac:dyDescent="0.2">
      <c r="A2" s="1" t="s">
        <v>86</v>
      </c>
      <c r="D2" s="1">
        <v>5</v>
      </c>
      <c r="E2" s="1" t="s">
        <v>0</v>
      </c>
      <c r="F2" s="1">
        <v>16.507999999999999</v>
      </c>
      <c r="G2" s="1">
        <v>-0.17199999999999999</v>
      </c>
      <c r="J2" s="1">
        <v>0.74399999999999999</v>
      </c>
      <c r="K2" s="1">
        <v>1.2589999999999999</v>
      </c>
      <c r="L2" s="1">
        <v>0.2</v>
      </c>
      <c r="M2" s="1">
        <v>0.11</v>
      </c>
    </row>
    <row r="3" spans="1:13" x14ac:dyDescent="0.2">
      <c r="A3" s="1" t="s">
        <v>86</v>
      </c>
      <c r="D3" s="1">
        <v>5</v>
      </c>
      <c r="E3" s="1" t="s">
        <v>1</v>
      </c>
      <c r="F3" s="1">
        <v>-0.23799999999999999</v>
      </c>
      <c r="G3" s="1">
        <v>21.244</v>
      </c>
      <c r="J3" s="1">
        <v>-1.9370000000000001</v>
      </c>
      <c r="K3" s="1">
        <v>-3.2789999999999999</v>
      </c>
      <c r="L3" s="1">
        <v>-0.64100000000000001</v>
      </c>
      <c r="M3" s="1">
        <v>-0.435</v>
      </c>
    </row>
    <row r="4" spans="1:13" x14ac:dyDescent="0.2">
      <c r="A4" s="1" t="s">
        <v>86</v>
      </c>
      <c r="D4" s="1">
        <v>5</v>
      </c>
      <c r="E4" s="1" t="s">
        <v>2</v>
      </c>
      <c r="F4" s="1">
        <v>1.7000000000000001E-2</v>
      </c>
      <c r="G4" s="1">
        <v>-3.2000000000000001E-2</v>
      </c>
      <c r="J4" s="1">
        <v>0.13900000000000001</v>
      </c>
      <c r="K4" s="1">
        <v>0.23499999999999999</v>
      </c>
      <c r="L4" s="1">
        <v>1.6E-2</v>
      </c>
      <c r="M4" s="1">
        <v>1.2E-2</v>
      </c>
    </row>
    <row r="5" spans="1:13" x14ac:dyDescent="0.2">
      <c r="A5" s="1" t="s">
        <v>86</v>
      </c>
      <c r="D5" s="1">
        <v>4</v>
      </c>
      <c r="E5" s="1" t="s">
        <v>0</v>
      </c>
      <c r="F5" s="1">
        <v>14.082000000000001</v>
      </c>
      <c r="G5" s="1">
        <v>-0.11899999999999999</v>
      </c>
      <c r="J5" s="1">
        <v>0.61899999999999999</v>
      </c>
      <c r="K5" s="1">
        <v>1.048</v>
      </c>
      <c r="L5" s="1">
        <v>0.14499999999999999</v>
      </c>
      <c r="M5" s="1">
        <v>7.8E-2</v>
      </c>
    </row>
    <row r="6" spans="1:13" x14ac:dyDescent="0.2">
      <c r="A6" s="1" t="s">
        <v>86</v>
      </c>
      <c r="D6" s="1">
        <v>4</v>
      </c>
      <c r="E6" s="1" t="s">
        <v>1</v>
      </c>
      <c r="F6" s="1">
        <v>-0.24199999999999999</v>
      </c>
      <c r="G6" s="1">
        <v>17.727</v>
      </c>
      <c r="J6" s="1">
        <v>-1.611</v>
      </c>
      <c r="K6" s="1">
        <v>-2.7290000000000001</v>
      </c>
      <c r="L6" s="1">
        <v>-0.436</v>
      </c>
      <c r="M6" s="1">
        <v>-0.30099999999999999</v>
      </c>
    </row>
    <row r="7" spans="1:13" x14ac:dyDescent="0.2">
      <c r="A7" s="1" t="s">
        <v>86</v>
      </c>
      <c r="D7" s="1">
        <v>4</v>
      </c>
      <c r="E7" s="1" t="s">
        <v>2</v>
      </c>
      <c r="F7" s="1">
        <v>1.7000000000000001E-2</v>
      </c>
      <c r="G7" s="1">
        <v>-2.1999999999999999E-2</v>
      </c>
      <c r="J7" s="1">
        <v>0.11600000000000001</v>
      </c>
      <c r="K7" s="1">
        <v>0.19600000000000001</v>
      </c>
      <c r="L7" s="1">
        <v>0.01</v>
      </c>
      <c r="M7" s="1">
        <v>8.9999999999999993E-3</v>
      </c>
    </row>
    <row r="8" spans="1:13" x14ac:dyDescent="0.2">
      <c r="A8" s="1" t="s">
        <v>86</v>
      </c>
      <c r="D8" s="1">
        <v>3</v>
      </c>
      <c r="E8" s="1" t="s">
        <v>0</v>
      </c>
      <c r="F8" s="1">
        <v>10.962999999999999</v>
      </c>
      <c r="G8" s="1">
        <v>-6.8000000000000005E-2</v>
      </c>
      <c r="J8" s="1">
        <v>0.47</v>
      </c>
      <c r="K8" s="1">
        <v>0.79800000000000004</v>
      </c>
      <c r="L8" s="1">
        <v>9.8000000000000004E-2</v>
      </c>
      <c r="M8" s="1">
        <v>5.1999999999999998E-2</v>
      </c>
    </row>
    <row r="9" spans="1:13" x14ac:dyDescent="0.2">
      <c r="A9" s="1" t="s">
        <v>86</v>
      </c>
      <c r="D9" s="1">
        <v>3</v>
      </c>
      <c r="E9" s="1" t="s">
        <v>1</v>
      </c>
      <c r="F9" s="1">
        <v>-0.217</v>
      </c>
      <c r="G9" s="1">
        <v>13.471</v>
      </c>
      <c r="J9" s="1">
        <v>-1.222</v>
      </c>
      <c r="K9" s="1">
        <v>-2.0720000000000001</v>
      </c>
      <c r="L9" s="1">
        <v>-0.28599999999999998</v>
      </c>
      <c r="M9" s="1">
        <v>-0.19800000000000001</v>
      </c>
    </row>
    <row r="10" spans="1:13" x14ac:dyDescent="0.2">
      <c r="A10" s="1" t="s">
        <v>86</v>
      </c>
      <c r="D10" s="1">
        <v>3</v>
      </c>
      <c r="E10" s="1" t="s">
        <v>2</v>
      </c>
      <c r="F10" s="1">
        <v>1.6E-2</v>
      </c>
      <c r="G10" s="1">
        <v>-1.2999999999999999E-2</v>
      </c>
      <c r="J10" s="1">
        <v>8.7999999999999995E-2</v>
      </c>
      <c r="K10" s="1">
        <v>0.14899999999999999</v>
      </c>
      <c r="L10" s="1">
        <v>8.0000000000000002E-3</v>
      </c>
      <c r="M10" s="1">
        <v>6.0000000000000001E-3</v>
      </c>
    </row>
    <row r="11" spans="1:13" x14ac:dyDescent="0.2">
      <c r="A11" s="1" t="s">
        <v>86</v>
      </c>
      <c r="D11" s="1">
        <v>2</v>
      </c>
      <c r="E11" s="1" t="s">
        <v>0</v>
      </c>
      <c r="F11" s="1">
        <v>7.5549999999999997</v>
      </c>
      <c r="G11" s="1">
        <v>-2.5000000000000001E-2</v>
      </c>
      <c r="J11" s="1">
        <v>0.314</v>
      </c>
      <c r="K11" s="1">
        <v>0.53300000000000003</v>
      </c>
      <c r="L11" s="1">
        <v>0.06</v>
      </c>
      <c r="M11" s="1">
        <v>3.2000000000000001E-2</v>
      </c>
    </row>
    <row r="12" spans="1:13" x14ac:dyDescent="0.2">
      <c r="A12" s="1" t="s">
        <v>86</v>
      </c>
      <c r="D12" s="1">
        <v>2</v>
      </c>
      <c r="E12" s="1" t="s">
        <v>1</v>
      </c>
      <c r="F12" s="1">
        <v>-0.17599999999999999</v>
      </c>
      <c r="G12" s="1">
        <v>8.9030000000000005</v>
      </c>
      <c r="J12" s="1">
        <v>-0.81</v>
      </c>
      <c r="K12" s="1">
        <v>-1.373</v>
      </c>
      <c r="L12" s="1">
        <v>-0.16200000000000001</v>
      </c>
      <c r="M12" s="1">
        <v>-0.113</v>
      </c>
    </row>
    <row r="13" spans="1:13" x14ac:dyDescent="0.2">
      <c r="A13" s="1" t="s">
        <v>86</v>
      </c>
      <c r="D13" s="1">
        <v>2</v>
      </c>
      <c r="E13" s="1" t="s">
        <v>2</v>
      </c>
      <c r="F13" s="1">
        <v>1.2999999999999999E-2</v>
      </c>
      <c r="G13" s="1">
        <v>-5.0000000000000001E-3</v>
      </c>
      <c r="J13" s="1">
        <v>5.8999999999999997E-2</v>
      </c>
      <c r="K13" s="1">
        <v>9.9000000000000005E-2</v>
      </c>
      <c r="L13" s="1">
        <v>5.0000000000000001E-3</v>
      </c>
      <c r="M13" s="1">
        <v>4.0000000000000001E-3</v>
      </c>
    </row>
    <row r="14" spans="1:13" x14ac:dyDescent="0.2">
      <c r="A14" s="1" t="s">
        <v>86</v>
      </c>
      <c r="D14" s="1">
        <v>1</v>
      </c>
      <c r="E14" s="1" t="s">
        <v>0</v>
      </c>
      <c r="F14" s="1">
        <v>3.6629999999999998</v>
      </c>
      <c r="G14" s="1">
        <v>1E-3</v>
      </c>
      <c r="J14" s="1">
        <v>0.14399999999999999</v>
      </c>
      <c r="K14" s="1">
        <v>0.24299999999999999</v>
      </c>
      <c r="L14" s="1">
        <v>2.3E-2</v>
      </c>
      <c r="M14" s="1">
        <v>1.2E-2</v>
      </c>
    </row>
    <row r="15" spans="1:13" x14ac:dyDescent="0.2">
      <c r="A15" s="1" t="s">
        <v>86</v>
      </c>
      <c r="D15" s="1">
        <v>1</v>
      </c>
      <c r="E15" s="1" t="s">
        <v>1</v>
      </c>
      <c r="F15" s="1">
        <v>-0.10100000000000001</v>
      </c>
      <c r="G15" s="1">
        <v>3.99</v>
      </c>
      <c r="J15" s="1">
        <v>-0.36599999999999999</v>
      </c>
      <c r="K15" s="1">
        <v>-0.62</v>
      </c>
      <c r="L15" s="1">
        <v>-5.5E-2</v>
      </c>
      <c r="M15" s="1">
        <v>-3.9E-2</v>
      </c>
    </row>
    <row r="16" spans="1:13" x14ac:dyDescent="0.2">
      <c r="A16" s="1" t="s">
        <v>86</v>
      </c>
      <c r="D16" s="1">
        <v>1</v>
      </c>
      <c r="E16" s="1" t="s">
        <v>2</v>
      </c>
      <c r="F16" s="1">
        <v>7.0000000000000001E-3</v>
      </c>
      <c r="G16" s="1">
        <v>0</v>
      </c>
      <c r="J16" s="1">
        <v>2.7E-2</v>
      </c>
      <c r="K16" s="1">
        <v>4.4999999999999998E-2</v>
      </c>
      <c r="L16" s="1">
        <v>2E-3</v>
      </c>
      <c r="M16" s="1">
        <v>2E-3</v>
      </c>
    </row>
    <row r="17" spans="1:9" x14ac:dyDescent="0.2">
      <c r="A17" s="1" t="s">
        <v>86</v>
      </c>
      <c r="B17" s="1">
        <v>1</v>
      </c>
      <c r="E17" s="1" t="s">
        <v>89</v>
      </c>
      <c r="H17" s="1">
        <v>0.65720000000000001</v>
      </c>
      <c r="I17" s="1">
        <v>0.65720000000000001</v>
      </c>
    </row>
    <row r="18" spans="1:9" x14ac:dyDescent="0.2">
      <c r="A18" s="1" t="s">
        <v>86</v>
      </c>
      <c r="B18" s="1">
        <v>1</v>
      </c>
      <c r="E18" s="1" t="s">
        <v>90</v>
      </c>
      <c r="H18" s="1">
        <v>0</v>
      </c>
      <c r="I18" s="1">
        <v>81.739999999999995</v>
      </c>
    </row>
    <row r="19" spans="1:9" x14ac:dyDescent="0.2">
      <c r="A19" s="1" t="s">
        <v>86</v>
      </c>
      <c r="B19" s="1">
        <v>1</v>
      </c>
      <c r="C19" s="1">
        <v>0.65700000000000003</v>
      </c>
      <c r="D19" s="1">
        <v>5</v>
      </c>
      <c r="E19" s="1" t="s">
        <v>0</v>
      </c>
      <c r="H19" s="35">
        <v>3.7713999999999998E-4</v>
      </c>
      <c r="I19" s="35">
        <v>-0.3644</v>
      </c>
    </row>
    <row r="20" spans="1:9" x14ac:dyDescent="0.2">
      <c r="A20" s="1" t="s">
        <v>86</v>
      </c>
      <c r="B20" s="1">
        <v>1</v>
      </c>
      <c r="D20" s="1">
        <v>5</v>
      </c>
      <c r="E20" s="1" t="s">
        <v>1</v>
      </c>
      <c r="H20" s="35">
        <v>-2.1270000000000001E-2</v>
      </c>
      <c r="I20" s="35">
        <v>20.555</v>
      </c>
    </row>
    <row r="21" spans="1:9" x14ac:dyDescent="0.2">
      <c r="A21" s="1" t="s">
        <v>86</v>
      </c>
      <c r="B21" s="1">
        <v>1</v>
      </c>
      <c r="C21" s="1" t="s">
        <v>87</v>
      </c>
      <c r="D21" s="1">
        <v>5</v>
      </c>
      <c r="E21" s="1" t="s">
        <v>2</v>
      </c>
      <c r="H21" s="35">
        <v>6.8164999999999995E-5</v>
      </c>
      <c r="I21" s="35">
        <v>-6.5860000000000002E-2</v>
      </c>
    </row>
    <row r="22" spans="1:9" x14ac:dyDescent="0.2">
      <c r="A22" s="1" t="s">
        <v>86</v>
      </c>
      <c r="B22" s="1">
        <v>1</v>
      </c>
      <c r="D22" s="1">
        <v>4</v>
      </c>
      <c r="E22" s="1" t="s">
        <v>0</v>
      </c>
      <c r="H22" s="35">
        <v>2.8991999999999999E-4</v>
      </c>
      <c r="I22" s="35">
        <v>-0.28010000000000002</v>
      </c>
    </row>
    <row r="23" spans="1:9" x14ac:dyDescent="0.2">
      <c r="A23" s="1" t="s">
        <v>86</v>
      </c>
      <c r="B23" s="1">
        <v>1</v>
      </c>
      <c r="D23" s="1">
        <v>4</v>
      </c>
      <c r="E23" s="1" t="s">
        <v>1</v>
      </c>
      <c r="H23" s="35">
        <v>-1.7780000000000001E-2</v>
      </c>
      <c r="I23" s="35">
        <v>17.177</v>
      </c>
    </row>
    <row r="24" spans="1:9" x14ac:dyDescent="0.2">
      <c r="A24" s="1" t="s">
        <v>86</v>
      </c>
      <c r="B24" s="1">
        <v>1</v>
      </c>
      <c r="D24" s="1">
        <v>4</v>
      </c>
      <c r="E24" s="1" t="s">
        <v>2</v>
      </c>
      <c r="H24" s="35">
        <v>5.2264E-5</v>
      </c>
      <c r="I24" s="35">
        <v>-5.0500000000000003E-2</v>
      </c>
    </row>
    <row r="25" spans="1:9" x14ac:dyDescent="0.2">
      <c r="A25" s="1" t="s">
        <v>86</v>
      </c>
      <c r="B25" s="1">
        <v>1</v>
      </c>
      <c r="D25" s="1">
        <v>3</v>
      </c>
      <c r="E25" s="1" t="s">
        <v>0</v>
      </c>
      <c r="H25" s="35">
        <v>1.9809E-4</v>
      </c>
      <c r="I25" s="35">
        <v>-0.19139999999999999</v>
      </c>
    </row>
    <row r="26" spans="1:9" x14ac:dyDescent="0.2">
      <c r="A26" s="1" t="s">
        <v>86</v>
      </c>
      <c r="B26" s="1">
        <v>1</v>
      </c>
      <c r="D26" s="1">
        <v>3</v>
      </c>
      <c r="E26" s="1" t="s">
        <v>1</v>
      </c>
      <c r="H26" s="35">
        <v>-1.3509999999999999E-2</v>
      </c>
      <c r="I26" s="35">
        <v>13.054</v>
      </c>
    </row>
    <row r="27" spans="1:9" x14ac:dyDescent="0.2">
      <c r="A27" s="1" t="s">
        <v>86</v>
      </c>
      <c r="B27" s="1">
        <v>1</v>
      </c>
      <c r="D27" s="1">
        <v>3</v>
      </c>
      <c r="E27" s="1" t="s">
        <v>2</v>
      </c>
      <c r="H27" s="35">
        <v>3.5506999999999997E-5</v>
      </c>
      <c r="I27" s="35">
        <v>-3.431E-2</v>
      </c>
    </row>
    <row r="28" spans="1:9" x14ac:dyDescent="0.2">
      <c r="A28" s="1" t="s">
        <v>86</v>
      </c>
      <c r="B28" s="1">
        <v>1</v>
      </c>
      <c r="D28" s="1">
        <v>2</v>
      </c>
      <c r="E28" s="1" t="s">
        <v>0</v>
      </c>
      <c r="H28" s="35">
        <v>1.1183000000000001E-4</v>
      </c>
      <c r="I28" s="35">
        <v>-0.1081</v>
      </c>
    </row>
    <row r="29" spans="1:9" x14ac:dyDescent="0.2">
      <c r="A29" s="1" t="s">
        <v>86</v>
      </c>
      <c r="B29" s="1">
        <v>1</v>
      </c>
      <c r="D29" s="1">
        <v>2</v>
      </c>
      <c r="E29" s="1" t="s">
        <v>1</v>
      </c>
      <c r="H29" s="35">
        <v>-8.9130000000000008E-3</v>
      </c>
      <c r="I29" s="35">
        <v>8.6120000000000001</v>
      </c>
    </row>
    <row r="30" spans="1:9" x14ac:dyDescent="0.2">
      <c r="A30" s="1" t="s">
        <v>86</v>
      </c>
      <c r="B30" s="1">
        <v>1</v>
      </c>
      <c r="D30" s="1">
        <v>2</v>
      </c>
      <c r="E30" s="1" t="s">
        <v>2</v>
      </c>
      <c r="H30" s="35">
        <v>1.9769999999999999E-5</v>
      </c>
      <c r="I30" s="35">
        <v>-1.9099999999999999E-2</v>
      </c>
    </row>
    <row r="31" spans="1:9" x14ac:dyDescent="0.2">
      <c r="A31" s="1" t="s">
        <v>86</v>
      </c>
      <c r="B31" s="1">
        <v>1</v>
      </c>
      <c r="D31" s="1">
        <v>1</v>
      </c>
      <c r="E31" s="1" t="s">
        <v>0</v>
      </c>
      <c r="H31" s="35">
        <v>3.8331999999999998E-5</v>
      </c>
      <c r="I31" s="35">
        <v>-3.7039999999999997E-2</v>
      </c>
    </row>
    <row r="32" spans="1:9" x14ac:dyDescent="0.2">
      <c r="A32" s="1" t="s">
        <v>86</v>
      </c>
      <c r="B32" s="1">
        <v>1</v>
      </c>
      <c r="D32" s="1">
        <v>1</v>
      </c>
      <c r="E32" s="1" t="s">
        <v>1</v>
      </c>
      <c r="H32" s="35">
        <v>-3.98E-3</v>
      </c>
      <c r="I32" s="35">
        <v>3.8456999999999999</v>
      </c>
    </row>
    <row r="33" spans="1:9" x14ac:dyDescent="0.2">
      <c r="A33" s="1" t="s">
        <v>86</v>
      </c>
      <c r="B33" s="1">
        <v>1</v>
      </c>
      <c r="D33" s="1">
        <v>1</v>
      </c>
      <c r="E33" s="1" t="s">
        <v>2</v>
      </c>
      <c r="H33" s="35">
        <v>6.5868000000000002E-6</v>
      </c>
      <c r="I33" s="35">
        <v>-6.3639999999999999E-3</v>
      </c>
    </row>
    <row r="34" spans="1:9" x14ac:dyDescent="0.2">
      <c r="A34" s="1" t="s">
        <v>86</v>
      </c>
      <c r="B34" s="1">
        <v>2</v>
      </c>
      <c r="E34" s="1" t="s">
        <v>89</v>
      </c>
      <c r="H34" s="1">
        <v>0.55369999999999997</v>
      </c>
      <c r="I34" s="1">
        <v>0.55369999999999997</v>
      </c>
    </row>
    <row r="35" spans="1:9" x14ac:dyDescent="0.2">
      <c r="A35" s="1" t="s">
        <v>86</v>
      </c>
      <c r="B35" s="1">
        <v>2</v>
      </c>
      <c r="E35" s="1" t="s">
        <v>90</v>
      </c>
      <c r="H35" s="1">
        <v>83.646000000000001</v>
      </c>
      <c r="I35" s="1">
        <v>1E-3</v>
      </c>
    </row>
    <row r="36" spans="1:9" x14ac:dyDescent="0.2">
      <c r="A36" s="1" t="s">
        <v>86</v>
      </c>
      <c r="B36" s="1">
        <v>2</v>
      </c>
      <c r="C36" s="1">
        <v>0.55400000000000005</v>
      </c>
      <c r="D36" s="1">
        <v>5</v>
      </c>
      <c r="E36" s="1" t="s">
        <v>0</v>
      </c>
      <c r="H36" s="35">
        <v>16.969000000000001</v>
      </c>
      <c r="I36" s="35">
        <v>4.6427000000000003E-2</v>
      </c>
    </row>
    <row r="37" spans="1:9" x14ac:dyDescent="0.2">
      <c r="A37" s="1" t="s">
        <v>86</v>
      </c>
      <c r="B37" s="1">
        <v>2</v>
      </c>
      <c r="C37" s="1" t="s">
        <v>88</v>
      </c>
      <c r="D37" s="1">
        <v>5</v>
      </c>
      <c r="E37" s="1" t="s">
        <v>1</v>
      </c>
      <c r="H37" s="35">
        <v>-1.7190000000000001</v>
      </c>
      <c r="I37" s="35">
        <v>-4.7029999999999997E-3</v>
      </c>
    </row>
    <row r="38" spans="1:9" x14ac:dyDescent="0.2">
      <c r="A38" s="1" t="s">
        <v>86</v>
      </c>
      <c r="B38" s="1">
        <v>2</v>
      </c>
      <c r="D38" s="1">
        <v>5</v>
      </c>
      <c r="E38" s="1" t="s">
        <v>2</v>
      </c>
      <c r="H38" s="35">
        <v>0.12781999999999999</v>
      </c>
      <c r="I38" s="35">
        <v>3.4970999999999998E-4</v>
      </c>
    </row>
    <row r="39" spans="1:9" x14ac:dyDescent="0.2">
      <c r="A39" s="1" t="s">
        <v>86</v>
      </c>
      <c r="B39" s="1">
        <v>2</v>
      </c>
      <c r="D39" s="1">
        <v>4</v>
      </c>
      <c r="E39" s="1" t="s">
        <v>0</v>
      </c>
      <c r="H39" s="35">
        <v>14.539</v>
      </c>
      <c r="I39" s="35">
        <v>3.9778000000000001E-2</v>
      </c>
    </row>
    <row r="40" spans="1:9" x14ac:dyDescent="0.2">
      <c r="A40" s="1" t="s">
        <v>86</v>
      </c>
      <c r="B40" s="1">
        <v>2</v>
      </c>
      <c r="D40" s="1">
        <v>4</v>
      </c>
      <c r="E40" s="1" t="s">
        <v>1</v>
      </c>
      <c r="H40" s="35">
        <v>-1.486</v>
      </c>
      <c r="I40" s="35">
        <v>-4.065E-3</v>
      </c>
    </row>
    <row r="41" spans="1:9" x14ac:dyDescent="0.2">
      <c r="A41" s="1" t="s">
        <v>86</v>
      </c>
      <c r="B41" s="1">
        <v>2</v>
      </c>
      <c r="D41" s="1">
        <v>4</v>
      </c>
      <c r="E41" s="1" t="s">
        <v>2</v>
      </c>
      <c r="H41" s="35">
        <v>0.11069</v>
      </c>
      <c r="I41" s="35">
        <v>3.0284000000000002E-4</v>
      </c>
    </row>
    <row r="42" spans="1:9" x14ac:dyDescent="0.2">
      <c r="A42" s="1" t="s">
        <v>86</v>
      </c>
      <c r="B42" s="1">
        <v>2</v>
      </c>
      <c r="D42" s="1">
        <v>3</v>
      </c>
      <c r="E42" s="1" t="s">
        <v>0</v>
      </c>
      <c r="H42" s="35">
        <v>11.359</v>
      </c>
      <c r="I42" s="35">
        <v>3.1077E-2</v>
      </c>
    </row>
    <row r="43" spans="1:9" x14ac:dyDescent="0.2">
      <c r="A43" s="1" t="s">
        <v>86</v>
      </c>
      <c r="B43" s="1">
        <v>2</v>
      </c>
      <c r="D43" s="1">
        <v>3</v>
      </c>
      <c r="E43" s="1" t="s">
        <v>1</v>
      </c>
      <c r="H43" s="35">
        <v>-1.169</v>
      </c>
      <c r="I43" s="35">
        <v>-3.1970000000000002E-3</v>
      </c>
    </row>
    <row r="44" spans="1:9" x14ac:dyDescent="0.2">
      <c r="A44" s="1" t="s">
        <v>86</v>
      </c>
      <c r="B44" s="1">
        <v>2</v>
      </c>
      <c r="D44" s="1">
        <v>3</v>
      </c>
      <c r="E44" s="1" t="s">
        <v>2</v>
      </c>
      <c r="H44" s="35">
        <v>8.7258000000000002E-2</v>
      </c>
      <c r="I44" s="35">
        <v>2.3873000000000001E-4</v>
      </c>
    </row>
    <row r="45" spans="1:9" x14ac:dyDescent="0.2">
      <c r="A45" s="1" t="s">
        <v>86</v>
      </c>
      <c r="B45" s="1">
        <v>2</v>
      </c>
      <c r="D45" s="1">
        <v>2</v>
      </c>
      <c r="E45" s="1" t="s">
        <v>0</v>
      </c>
      <c r="H45" s="35">
        <v>7.835</v>
      </c>
      <c r="I45" s="35">
        <v>2.1436E-2</v>
      </c>
    </row>
    <row r="46" spans="1:9" x14ac:dyDescent="0.2">
      <c r="A46" s="1" t="s">
        <v>86</v>
      </c>
      <c r="B46" s="1">
        <v>2</v>
      </c>
      <c r="D46" s="1">
        <v>2</v>
      </c>
      <c r="E46" s="1" t="s">
        <v>1</v>
      </c>
      <c r="H46" s="35">
        <v>-0.8095</v>
      </c>
      <c r="I46" s="35">
        <v>-2.215E-3</v>
      </c>
    </row>
    <row r="47" spans="1:9" x14ac:dyDescent="0.2">
      <c r="A47" s="1" t="s">
        <v>86</v>
      </c>
      <c r="B47" s="1">
        <v>2</v>
      </c>
      <c r="D47" s="1">
        <v>2</v>
      </c>
      <c r="E47" s="1" t="s">
        <v>2</v>
      </c>
      <c r="H47" s="35">
        <v>6.0629000000000002E-2</v>
      </c>
      <c r="I47" s="35">
        <v>1.6588E-4</v>
      </c>
    </row>
    <row r="48" spans="1:9" x14ac:dyDescent="0.2">
      <c r="A48" s="1" t="s">
        <v>86</v>
      </c>
      <c r="B48" s="1">
        <v>2</v>
      </c>
      <c r="D48" s="1">
        <v>1</v>
      </c>
      <c r="E48" s="1" t="s">
        <v>0</v>
      </c>
      <c r="H48" s="35">
        <v>3.7904</v>
      </c>
      <c r="I48" s="35">
        <v>1.0370000000000001E-2</v>
      </c>
    </row>
    <row r="49" spans="1:9" x14ac:dyDescent="0.2">
      <c r="A49" s="1" t="s">
        <v>86</v>
      </c>
      <c r="B49" s="1">
        <v>2</v>
      </c>
      <c r="D49" s="1">
        <v>1</v>
      </c>
      <c r="E49" s="1" t="s">
        <v>1</v>
      </c>
      <c r="H49" s="35">
        <v>-0.38740000000000002</v>
      </c>
      <c r="I49" s="35">
        <v>-1.06E-3</v>
      </c>
    </row>
    <row r="50" spans="1:9" x14ac:dyDescent="0.2">
      <c r="A50" s="1" t="s">
        <v>86</v>
      </c>
      <c r="B50" s="1">
        <v>2</v>
      </c>
      <c r="D50" s="1">
        <v>1</v>
      </c>
      <c r="E50" s="1" t="s">
        <v>2</v>
      </c>
      <c r="H50" s="35">
        <v>2.9125000000000002E-2</v>
      </c>
      <c r="I50" s="35">
        <v>7.9685999999999996E-5</v>
      </c>
    </row>
    <row r="51" spans="1:9" x14ac:dyDescent="0.2">
      <c r="A51" s="1" t="s">
        <v>86</v>
      </c>
      <c r="B51" s="1">
        <v>3</v>
      </c>
      <c r="E51" s="1" t="s">
        <v>89</v>
      </c>
      <c r="H51" s="1">
        <v>0.50419999999999998</v>
      </c>
      <c r="I51" s="1">
        <v>0.50419999999999998</v>
      </c>
    </row>
    <row r="52" spans="1:9" x14ac:dyDescent="0.2">
      <c r="A52" s="1" t="s">
        <v>86</v>
      </c>
      <c r="B52" s="1">
        <v>3</v>
      </c>
      <c r="E52" s="1" t="s">
        <v>90</v>
      </c>
      <c r="H52" s="1">
        <v>0.312</v>
      </c>
      <c r="I52" s="1">
        <v>6.2E-2</v>
      </c>
    </row>
    <row r="53" spans="1:9" x14ac:dyDescent="0.2">
      <c r="A53" s="1" t="s">
        <v>86</v>
      </c>
      <c r="B53" s="1">
        <v>3</v>
      </c>
      <c r="C53" s="1">
        <v>0.504</v>
      </c>
      <c r="D53" s="1">
        <v>5</v>
      </c>
      <c r="E53" s="1" t="s">
        <v>0</v>
      </c>
      <c r="H53" s="35">
        <v>-0.51060000000000005</v>
      </c>
      <c r="I53" s="35">
        <v>0.22827</v>
      </c>
    </row>
    <row r="54" spans="1:9" x14ac:dyDescent="0.2">
      <c r="A54" s="1" t="s">
        <v>86</v>
      </c>
      <c r="B54" s="1">
        <v>3</v>
      </c>
      <c r="D54" s="1">
        <v>5</v>
      </c>
      <c r="E54" s="1" t="s">
        <v>1</v>
      </c>
      <c r="H54" s="35">
        <v>1.4907999999999999</v>
      </c>
      <c r="I54" s="35">
        <v>-0.66639999999999999</v>
      </c>
    </row>
    <row r="55" spans="1:9" x14ac:dyDescent="0.2">
      <c r="A55" s="1" t="s">
        <v>86</v>
      </c>
      <c r="B55" s="1">
        <v>3</v>
      </c>
      <c r="D55" s="1">
        <v>5</v>
      </c>
      <c r="E55" s="1" t="s">
        <v>2</v>
      </c>
      <c r="H55" s="35">
        <v>-0.10979999999999999</v>
      </c>
      <c r="I55" s="35">
        <v>4.9076000000000002E-2</v>
      </c>
    </row>
    <row r="56" spans="1:9" x14ac:dyDescent="0.2">
      <c r="A56" s="1" t="s">
        <v>86</v>
      </c>
      <c r="B56" s="1">
        <v>3</v>
      </c>
      <c r="D56" s="1">
        <v>4</v>
      </c>
      <c r="E56" s="1" t="s">
        <v>0</v>
      </c>
      <c r="H56" s="35">
        <v>-0.42870000000000003</v>
      </c>
      <c r="I56" s="35">
        <v>0.19162999999999999</v>
      </c>
    </row>
    <row r="57" spans="1:9" x14ac:dyDescent="0.2">
      <c r="A57" s="1" t="s">
        <v>86</v>
      </c>
      <c r="B57" s="1">
        <v>3</v>
      </c>
      <c r="D57" s="1">
        <v>4</v>
      </c>
      <c r="E57" s="1" t="s">
        <v>1</v>
      </c>
      <c r="H57" s="35">
        <v>1.2451000000000001</v>
      </c>
      <c r="I57" s="35">
        <v>-0.55659999999999998</v>
      </c>
    </row>
    <row r="58" spans="1:9" x14ac:dyDescent="0.2">
      <c r="A58" s="1" t="s">
        <v>86</v>
      </c>
      <c r="B58" s="1">
        <v>3</v>
      </c>
      <c r="D58" s="1">
        <v>4</v>
      </c>
      <c r="E58" s="1" t="s">
        <v>2</v>
      </c>
      <c r="H58" s="35">
        <v>-9.1950000000000004E-2</v>
      </c>
      <c r="I58" s="35">
        <v>4.1105000000000003E-2</v>
      </c>
    </row>
    <row r="59" spans="1:9" x14ac:dyDescent="0.2">
      <c r="A59" s="1" t="s">
        <v>86</v>
      </c>
      <c r="B59" s="1">
        <v>3</v>
      </c>
      <c r="D59" s="1">
        <v>3</v>
      </c>
      <c r="E59" s="1" t="s">
        <v>0</v>
      </c>
      <c r="H59" s="35">
        <v>-0.32769999999999999</v>
      </c>
      <c r="I59" s="35">
        <v>0.14648</v>
      </c>
    </row>
    <row r="60" spans="1:9" x14ac:dyDescent="0.2">
      <c r="A60" s="1" t="s">
        <v>86</v>
      </c>
      <c r="B60" s="1">
        <v>3</v>
      </c>
      <c r="D60" s="1">
        <v>3</v>
      </c>
      <c r="E60" s="1" t="s">
        <v>1</v>
      </c>
      <c r="H60" s="35">
        <v>0.94640999999999997</v>
      </c>
      <c r="I60" s="35">
        <v>-0.42309999999999998</v>
      </c>
    </row>
    <row r="61" spans="1:9" x14ac:dyDescent="0.2">
      <c r="A61" s="1" t="s">
        <v>86</v>
      </c>
      <c r="B61" s="1">
        <v>3</v>
      </c>
      <c r="D61" s="1">
        <v>3</v>
      </c>
      <c r="E61" s="1" t="s">
        <v>2</v>
      </c>
      <c r="H61" s="35">
        <v>-7.0139999999999994E-2</v>
      </c>
      <c r="I61" s="35">
        <v>3.1352999999999999E-2</v>
      </c>
    </row>
    <row r="62" spans="1:9" x14ac:dyDescent="0.2">
      <c r="A62" s="1" t="s">
        <v>86</v>
      </c>
      <c r="B62" s="1">
        <v>3</v>
      </c>
      <c r="D62" s="1">
        <v>2</v>
      </c>
      <c r="E62" s="1" t="s">
        <v>0</v>
      </c>
      <c r="H62" s="35">
        <v>-0.21840000000000001</v>
      </c>
      <c r="I62" s="35">
        <v>9.7638000000000003E-2</v>
      </c>
    </row>
    <row r="63" spans="1:9" x14ac:dyDescent="0.2">
      <c r="A63" s="1" t="s">
        <v>86</v>
      </c>
      <c r="B63" s="1">
        <v>3</v>
      </c>
      <c r="D63" s="1">
        <v>2</v>
      </c>
      <c r="E63" s="1" t="s">
        <v>1</v>
      </c>
      <c r="H63" s="35">
        <v>0.62663999999999997</v>
      </c>
      <c r="I63" s="35">
        <v>-0.28010000000000002</v>
      </c>
    </row>
    <row r="64" spans="1:9" x14ac:dyDescent="0.2">
      <c r="A64" s="1" t="s">
        <v>86</v>
      </c>
      <c r="B64" s="1">
        <v>3</v>
      </c>
      <c r="D64" s="1">
        <v>2</v>
      </c>
      <c r="E64" s="1" t="s">
        <v>2</v>
      </c>
      <c r="H64" s="35">
        <v>-4.6649999999999997E-2</v>
      </c>
      <c r="I64" s="35">
        <v>2.0851999999999999E-2</v>
      </c>
    </row>
    <row r="65" spans="1:9" x14ac:dyDescent="0.2">
      <c r="A65" s="1" t="s">
        <v>86</v>
      </c>
      <c r="B65" s="1">
        <v>3</v>
      </c>
      <c r="D65" s="1">
        <v>1</v>
      </c>
      <c r="E65" s="1" t="s">
        <v>0</v>
      </c>
      <c r="H65" s="35">
        <v>-9.8890000000000006E-2</v>
      </c>
      <c r="I65" s="35">
        <v>4.4206000000000002E-2</v>
      </c>
    </row>
    <row r="66" spans="1:9" x14ac:dyDescent="0.2">
      <c r="A66" s="1" t="s">
        <v>86</v>
      </c>
      <c r="B66" s="1">
        <v>3</v>
      </c>
      <c r="D66" s="1">
        <v>1</v>
      </c>
      <c r="E66" s="1" t="s">
        <v>1</v>
      </c>
      <c r="H66" s="35">
        <v>0.28210000000000002</v>
      </c>
      <c r="I66" s="35">
        <v>-0.12609999999999999</v>
      </c>
    </row>
    <row r="67" spans="1:9" x14ac:dyDescent="0.2">
      <c r="A67" s="1" t="s">
        <v>86</v>
      </c>
      <c r="B67" s="1">
        <v>3</v>
      </c>
      <c r="D67" s="1">
        <v>1</v>
      </c>
      <c r="E67" s="1" t="s">
        <v>2</v>
      </c>
      <c r="H67" s="35">
        <v>-2.112E-2</v>
      </c>
      <c r="I67" s="35">
        <v>9.4412000000000003E-3</v>
      </c>
    </row>
    <row r="68" spans="1:9" x14ac:dyDescent="0.2">
      <c r="A68" s="1" t="s">
        <v>86</v>
      </c>
      <c r="B68" s="1">
        <v>4</v>
      </c>
      <c r="E68" s="1" t="s">
        <v>89</v>
      </c>
      <c r="H68" s="1">
        <v>0.22739999999999999</v>
      </c>
      <c r="I68" s="1">
        <v>0.22739999999999999</v>
      </c>
    </row>
    <row r="69" spans="1:9" x14ac:dyDescent="0.2">
      <c r="A69" s="1" t="s">
        <v>86</v>
      </c>
      <c r="B69" s="1">
        <v>4</v>
      </c>
      <c r="E69" s="1" t="s">
        <v>90</v>
      </c>
      <c r="H69" s="1">
        <v>0</v>
      </c>
      <c r="I69" s="1">
        <v>11.587999999999999</v>
      </c>
    </row>
    <row r="70" spans="1:9" x14ac:dyDescent="0.2">
      <c r="A70" s="1" t="s">
        <v>86</v>
      </c>
      <c r="B70" s="1">
        <v>4</v>
      </c>
      <c r="C70" s="1">
        <v>0.22700000000000001</v>
      </c>
      <c r="D70" s="1">
        <v>5</v>
      </c>
      <c r="E70" s="1" t="s">
        <v>0</v>
      </c>
      <c r="H70" s="35">
        <v>-2.159E-6</v>
      </c>
      <c r="I70" s="35">
        <v>2.9757E-3</v>
      </c>
    </row>
    <row r="71" spans="1:9" x14ac:dyDescent="0.2">
      <c r="A71" s="1" t="s">
        <v>86</v>
      </c>
      <c r="B71" s="1">
        <v>4</v>
      </c>
      <c r="D71" s="1">
        <v>5</v>
      </c>
      <c r="E71" s="1" t="s">
        <v>1</v>
      </c>
      <c r="H71" s="35">
        <v>8.4798999999999996E-4</v>
      </c>
      <c r="I71" s="35">
        <v>-1.169</v>
      </c>
    </row>
    <row r="72" spans="1:9" x14ac:dyDescent="0.2">
      <c r="A72" s="1" t="s">
        <v>86</v>
      </c>
      <c r="B72" s="1">
        <v>4</v>
      </c>
      <c r="D72" s="1">
        <v>5</v>
      </c>
      <c r="E72" s="1" t="s">
        <v>2</v>
      </c>
      <c r="H72" s="35">
        <v>-2.4019999999999999E-7</v>
      </c>
      <c r="I72" s="35">
        <v>3.3116999999999999E-4</v>
      </c>
    </row>
    <row r="73" spans="1:9" x14ac:dyDescent="0.2">
      <c r="A73" s="1" t="s">
        <v>86</v>
      </c>
      <c r="B73" s="1">
        <v>4</v>
      </c>
      <c r="D73" s="1">
        <v>4</v>
      </c>
      <c r="E73" s="1" t="s">
        <v>0</v>
      </c>
      <c r="H73" s="35">
        <v>2.1815000000000002E-6</v>
      </c>
      <c r="I73" s="35">
        <v>-3.0070000000000001E-3</v>
      </c>
    </row>
    <row r="74" spans="1:9" x14ac:dyDescent="0.2">
      <c r="A74" s="1" t="s">
        <v>86</v>
      </c>
      <c r="B74" s="1">
        <v>4</v>
      </c>
      <c r="D74" s="1">
        <v>4</v>
      </c>
      <c r="E74" s="1" t="s">
        <v>1</v>
      </c>
      <c r="H74" s="35">
        <v>1.3405E-5</v>
      </c>
      <c r="I74" s="35">
        <v>-1.848E-2</v>
      </c>
    </row>
    <row r="75" spans="1:9" x14ac:dyDescent="0.2">
      <c r="A75" s="1" t="s">
        <v>86</v>
      </c>
      <c r="B75" s="1">
        <v>4</v>
      </c>
      <c r="D75" s="1">
        <v>4</v>
      </c>
      <c r="E75" s="1" t="s">
        <v>2</v>
      </c>
      <c r="H75" s="35">
        <v>4.4247999999999998E-7</v>
      </c>
      <c r="I75" s="35">
        <v>-6.0999999999999997E-4</v>
      </c>
    </row>
    <row r="76" spans="1:9" x14ac:dyDescent="0.2">
      <c r="A76" s="1" t="s">
        <v>86</v>
      </c>
      <c r="B76" s="1">
        <v>4</v>
      </c>
      <c r="D76" s="1">
        <v>3</v>
      </c>
      <c r="E76" s="1" t="s">
        <v>0</v>
      </c>
      <c r="H76" s="35">
        <v>4.4687000000000001E-6</v>
      </c>
      <c r="I76" s="35">
        <v>-6.1599999999999997E-3</v>
      </c>
    </row>
    <row r="77" spans="1:9" x14ac:dyDescent="0.2">
      <c r="A77" s="1" t="s">
        <v>86</v>
      </c>
      <c r="B77" s="1">
        <v>4</v>
      </c>
      <c r="D77" s="1">
        <v>3</v>
      </c>
      <c r="E77" s="1" t="s">
        <v>1</v>
      </c>
      <c r="H77" s="35">
        <v>-5.8319999999999997E-4</v>
      </c>
      <c r="I77" s="35">
        <v>0.80391000000000001</v>
      </c>
    </row>
    <row r="78" spans="1:9" x14ac:dyDescent="0.2">
      <c r="A78" s="1" t="s">
        <v>86</v>
      </c>
      <c r="B78" s="1">
        <v>4</v>
      </c>
      <c r="D78" s="1">
        <v>3</v>
      </c>
      <c r="E78" s="1" t="s">
        <v>2</v>
      </c>
      <c r="H78" s="35">
        <v>7.7990000000000004E-7</v>
      </c>
      <c r="I78" s="35">
        <v>-1.075E-3</v>
      </c>
    </row>
    <row r="79" spans="1:9" x14ac:dyDescent="0.2">
      <c r="A79" s="1" t="s">
        <v>86</v>
      </c>
      <c r="B79" s="1">
        <v>4</v>
      </c>
      <c r="D79" s="1">
        <v>2</v>
      </c>
      <c r="E79" s="1" t="s">
        <v>0</v>
      </c>
      <c r="H79" s="35">
        <v>3.8318999999999997E-6</v>
      </c>
      <c r="I79" s="35">
        <v>-5.2820000000000002E-3</v>
      </c>
    </row>
    <row r="80" spans="1:9" x14ac:dyDescent="0.2">
      <c r="A80" s="1" t="s">
        <v>86</v>
      </c>
      <c r="B80" s="1">
        <v>4</v>
      </c>
      <c r="D80" s="1">
        <v>2</v>
      </c>
      <c r="E80" s="1" t="s">
        <v>1</v>
      </c>
      <c r="H80" s="35">
        <v>-7.0870000000000004E-4</v>
      </c>
      <c r="I80" s="35">
        <v>0.97702</v>
      </c>
    </row>
    <row r="81" spans="1:9" x14ac:dyDescent="0.2">
      <c r="A81" s="1" t="s">
        <v>86</v>
      </c>
      <c r="B81" s="1">
        <v>4</v>
      </c>
      <c r="D81" s="1">
        <v>2</v>
      </c>
      <c r="E81" s="1" t="s">
        <v>2</v>
      </c>
      <c r="H81" s="35">
        <v>6.3766000000000001E-7</v>
      </c>
      <c r="I81" s="35">
        <v>-8.7900000000000001E-4</v>
      </c>
    </row>
    <row r="82" spans="1:9" x14ac:dyDescent="0.2">
      <c r="A82" s="1" t="s">
        <v>86</v>
      </c>
      <c r="B82" s="1">
        <v>4</v>
      </c>
      <c r="D82" s="1">
        <v>1</v>
      </c>
      <c r="E82" s="1" t="s">
        <v>0</v>
      </c>
      <c r="H82" s="35">
        <v>1.5463999999999999E-6</v>
      </c>
      <c r="I82" s="35">
        <v>-2.1320000000000002E-3</v>
      </c>
    </row>
    <row r="83" spans="1:9" x14ac:dyDescent="0.2">
      <c r="A83" s="1" t="s">
        <v>86</v>
      </c>
      <c r="B83" s="1">
        <v>4</v>
      </c>
      <c r="D83" s="1">
        <v>1</v>
      </c>
      <c r="E83" s="1" t="s">
        <v>1</v>
      </c>
      <c r="H83" s="35">
        <v>-4.2559999999999999E-4</v>
      </c>
      <c r="I83" s="35">
        <v>0.58667000000000002</v>
      </c>
    </row>
    <row r="84" spans="1:9" x14ac:dyDescent="0.2">
      <c r="A84" s="1" t="s">
        <v>86</v>
      </c>
      <c r="B84" s="1">
        <v>4</v>
      </c>
      <c r="D84" s="1">
        <v>1</v>
      </c>
      <c r="E84" s="1" t="s">
        <v>2</v>
      </c>
      <c r="H84" s="35">
        <v>2.3900000000000001E-7</v>
      </c>
      <c r="I84" s="35">
        <v>-3.2949999999999999E-4</v>
      </c>
    </row>
    <row r="85" spans="1:9" x14ac:dyDescent="0.2">
      <c r="A85" s="1" t="s">
        <v>86</v>
      </c>
      <c r="B85" s="1">
        <v>5</v>
      </c>
      <c r="E85" s="1" t="s">
        <v>89</v>
      </c>
      <c r="H85" s="1">
        <v>0.1963</v>
      </c>
      <c r="I85" s="1">
        <v>0.1963</v>
      </c>
    </row>
    <row r="86" spans="1:9" x14ac:dyDescent="0.2">
      <c r="A86" s="1" t="s">
        <v>86</v>
      </c>
      <c r="B86" s="1">
        <v>5</v>
      </c>
      <c r="E86" s="1" t="s">
        <v>90</v>
      </c>
      <c r="H86" s="1">
        <v>10.407999999999999</v>
      </c>
      <c r="I86" s="1">
        <v>0</v>
      </c>
    </row>
    <row r="87" spans="1:9" x14ac:dyDescent="0.2">
      <c r="A87" s="1" t="s">
        <v>86</v>
      </c>
      <c r="B87" s="1">
        <v>5</v>
      </c>
      <c r="C87" s="1">
        <v>0.19600000000000001</v>
      </c>
      <c r="D87" s="1">
        <v>5</v>
      </c>
      <c r="E87" s="1" t="s">
        <v>0</v>
      </c>
      <c r="H87" s="35">
        <v>-0.88600000000000001</v>
      </c>
      <c r="I87" s="35">
        <v>-3.6499999999999998E-4</v>
      </c>
    </row>
    <row r="88" spans="1:9" x14ac:dyDescent="0.2">
      <c r="A88" s="1" t="s">
        <v>86</v>
      </c>
      <c r="B88" s="1">
        <v>5</v>
      </c>
      <c r="D88" s="1">
        <v>5</v>
      </c>
      <c r="E88" s="1" t="s">
        <v>1</v>
      </c>
      <c r="H88" s="35">
        <v>0.17027999999999999</v>
      </c>
      <c r="I88" s="35">
        <v>7.0153000000000004E-5</v>
      </c>
    </row>
    <row r="89" spans="1:9" x14ac:dyDescent="0.2">
      <c r="A89" s="1" t="s">
        <v>86</v>
      </c>
      <c r="B89" s="1">
        <v>5</v>
      </c>
      <c r="D89" s="1">
        <v>5</v>
      </c>
      <c r="E89" s="1" t="s">
        <v>2</v>
      </c>
      <c r="H89" s="35">
        <v>-1.248E-2</v>
      </c>
      <c r="I89" s="35">
        <v>-5.1399999999999999E-6</v>
      </c>
    </row>
    <row r="90" spans="1:9" x14ac:dyDescent="0.2">
      <c r="A90" s="1" t="s">
        <v>86</v>
      </c>
      <c r="B90" s="1">
        <v>5</v>
      </c>
      <c r="D90" s="1">
        <v>4</v>
      </c>
      <c r="E90" s="1" t="s">
        <v>0</v>
      </c>
      <c r="H90" s="35">
        <v>-7.8520000000000006E-2</v>
      </c>
      <c r="I90" s="35">
        <v>-3.235E-5</v>
      </c>
    </row>
    <row r="91" spans="1:9" x14ac:dyDescent="0.2">
      <c r="A91" s="1" t="s">
        <v>86</v>
      </c>
      <c r="B91" s="1">
        <v>5</v>
      </c>
      <c r="D91" s="1">
        <v>4</v>
      </c>
      <c r="E91" s="1" t="s">
        <v>1</v>
      </c>
      <c r="H91" s="35">
        <v>3.1933999999999997E-2</v>
      </c>
      <c r="I91" s="35">
        <v>1.3156000000000001E-5</v>
      </c>
    </row>
    <row r="92" spans="1:9" x14ac:dyDescent="0.2">
      <c r="A92" s="1" t="s">
        <v>86</v>
      </c>
      <c r="B92" s="1">
        <v>5</v>
      </c>
      <c r="D92" s="1">
        <v>4</v>
      </c>
      <c r="E92" s="1" t="s">
        <v>2</v>
      </c>
      <c r="H92" s="35">
        <v>-2.3509999999999998E-3</v>
      </c>
      <c r="I92" s="35">
        <v>-9.6869999999999993E-7</v>
      </c>
    </row>
    <row r="93" spans="1:9" x14ac:dyDescent="0.2">
      <c r="A93" s="1" t="s">
        <v>86</v>
      </c>
      <c r="B93" s="1">
        <v>5</v>
      </c>
      <c r="D93" s="1">
        <v>3</v>
      </c>
      <c r="E93" s="1" t="s">
        <v>0</v>
      </c>
      <c r="H93" s="35">
        <v>0.54739000000000004</v>
      </c>
      <c r="I93" s="35">
        <v>2.2551E-4</v>
      </c>
    </row>
    <row r="94" spans="1:9" x14ac:dyDescent="0.2">
      <c r="A94" s="1" t="s">
        <v>86</v>
      </c>
      <c r="B94" s="1">
        <v>5</v>
      </c>
      <c r="D94" s="1">
        <v>3</v>
      </c>
      <c r="E94" s="1" t="s">
        <v>1</v>
      </c>
      <c r="H94" s="35">
        <v>-7.3410000000000003E-2</v>
      </c>
      <c r="I94" s="35">
        <v>-3.0239999999999998E-5</v>
      </c>
    </row>
    <row r="95" spans="1:9" x14ac:dyDescent="0.2">
      <c r="A95" s="1" t="s">
        <v>86</v>
      </c>
      <c r="B95" s="1">
        <v>5</v>
      </c>
      <c r="D95" s="1">
        <v>3</v>
      </c>
      <c r="E95" s="1" t="s">
        <v>2</v>
      </c>
      <c r="H95" s="35">
        <v>5.3736000000000001E-3</v>
      </c>
      <c r="I95" s="35">
        <v>2.2137999999999999E-6</v>
      </c>
    </row>
    <row r="96" spans="1:9" x14ac:dyDescent="0.2">
      <c r="A96" s="1" t="s">
        <v>86</v>
      </c>
      <c r="B96" s="1">
        <v>5</v>
      </c>
      <c r="D96" s="1">
        <v>2</v>
      </c>
      <c r="E96" s="1" t="s">
        <v>0</v>
      </c>
      <c r="H96" s="35">
        <v>0.71753999999999996</v>
      </c>
      <c r="I96" s="35">
        <v>2.9561000000000002E-4</v>
      </c>
    </row>
    <row r="97" spans="1:9" x14ac:dyDescent="0.2">
      <c r="A97" s="1" t="s">
        <v>86</v>
      </c>
      <c r="B97" s="1">
        <v>5</v>
      </c>
      <c r="D97" s="1">
        <v>2</v>
      </c>
      <c r="E97" s="1" t="s">
        <v>1</v>
      </c>
      <c r="H97" s="35">
        <v>-0.1026</v>
      </c>
      <c r="I97" s="35">
        <v>-4.227E-5</v>
      </c>
    </row>
    <row r="98" spans="1:9" x14ac:dyDescent="0.2">
      <c r="A98" s="1" t="s">
        <v>86</v>
      </c>
      <c r="B98" s="1">
        <v>5</v>
      </c>
      <c r="D98" s="1">
        <v>2</v>
      </c>
      <c r="E98" s="1" t="s">
        <v>2</v>
      </c>
      <c r="H98" s="35">
        <v>7.5300000000000002E-3</v>
      </c>
      <c r="I98" s="35">
        <v>3.1022000000000001E-6</v>
      </c>
    </row>
    <row r="99" spans="1:9" x14ac:dyDescent="0.2">
      <c r="A99" s="1" t="s">
        <v>86</v>
      </c>
      <c r="B99" s="1">
        <v>5</v>
      </c>
      <c r="D99" s="1">
        <v>1</v>
      </c>
      <c r="E99" s="1" t="s">
        <v>0</v>
      </c>
      <c r="H99" s="35">
        <v>0.46722999999999998</v>
      </c>
      <c r="I99" s="35">
        <v>1.9249E-4</v>
      </c>
    </row>
    <row r="100" spans="1:9" x14ac:dyDescent="0.2">
      <c r="A100" s="1" t="s">
        <v>86</v>
      </c>
      <c r="B100" s="1">
        <v>5</v>
      </c>
      <c r="D100" s="1">
        <v>1</v>
      </c>
      <c r="E100" s="1" t="s">
        <v>1</v>
      </c>
      <c r="H100" s="35">
        <v>-6.633E-2</v>
      </c>
      <c r="I100" s="35">
        <v>-2.7330000000000001E-5</v>
      </c>
    </row>
    <row r="101" spans="1:9" x14ac:dyDescent="0.2">
      <c r="A101" s="1" t="s">
        <v>86</v>
      </c>
      <c r="B101" s="1">
        <v>5</v>
      </c>
      <c r="D101" s="1">
        <v>1</v>
      </c>
      <c r="E101" s="1" t="s">
        <v>2</v>
      </c>
      <c r="H101" s="35">
        <v>4.8812999999999999E-3</v>
      </c>
      <c r="I101" s="35">
        <v>2.0109999999999999E-6</v>
      </c>
    </row>
    <row r="102" spans="1:9" x14ac:dyDescent="0.2">
      <c r="A102" s="1" t="s">
        <v>86</v>
      </c>
      <c r="B102" s="1">
        <v>6</v>
      </c>
      <c r="E102" s="1" t="s">
        <v>89</v>
      </c>
      <c r="H102" s="1">
        <v>0.17549999999999999</v>
      </c>
      <c r="I102" s="1">
        <v>0.17549999999999999</v>
      </c>
    </row>
    <row r="103" spans="1:9" x14ac:dyDescent="0.2">
      <c r="A103" s="1" t="s">
        <v>86</v>
      </c>
      <c r="B103" s="1">
        <v>6</v>
      </c>
      <c r="E103" s="1" t="s">
        <v>90</v>
      </c>
      <c r="H103" s="1">
        <v>0.11899999999999999</v>
      </c>
      <c r="I103" s="1">
        <v>0</v>
      </c>
    </row>
    <row r="104" spans="1:9" x14ac:dyDescent="0.2">
      <c r="A104" s="1" t="s">
        <v>86</v>
      </c>
      <c r="B104" s="1">
        <v>6</v>
      </c>
      <c r="C104" s="1">
        <v>0.17499999999999999</v>
      </c>
      <c r="D104" s="1">
        <v>5</v>
      </c>
      <c r="E104" s="1" t="s">
        <v>0</v>
      </c>
      <c r="H104" s="35">
        <v>3.7537000000000001E-2</v>
      </c>
      <c r="I104" s="35">
        <v>8.1624000000000003E-5</v>
      </c>
    </row>
    <row r="105" spans="1:9" x14ac:dyDescent="0.2">
      <c r="A105" s="1" t="s">
        <v>86</v>
      </c>
      <c r="B105" s="1">
        <v>6</v>
      </c>
      <c r="D105" s="1">
        <v>5</v>
      </c>
      <c r="E105" s="1" t="s">
        <v>1</v>
      </c>
      <c r="H105" s="35">
        <v>-0.1139</v>
      </c>
      <c r="I105" s="35">
        <v>-2.477E-4</v>
      </c>
    </row>
    <row r="106" spans="1:9" x14ac:dyDescent="0.2">
      <c r="A106" s="1" t="s">
        <v>86</v>
      </c>
      <c r="B106" s="1">
        <v>6</v>
      </c>
      <c r="D106" s="1">
        <v>5</v>
      </c>
      <c r="E106" s="1" t="s">
        <v>2</v>
      </c>
      <c r="H106" s="35">
        <v>8.3132999999999992E-3</v>
      </c>
      <c r="I106" s="35">
        <v>1.8077E-5</v>
      </c>
    </row>
    <row r="107" spans="1:9" x14ac:dyDescent="0.2">
      <c r="A107" s="1" t="s">
        <v>86</v>
      </c>
      <c r="B107" s="1">
        <v>6</v>
      </c>
      <c r="D107" s="1">
        <v>4</v>
      </c>
      <c r="E107" s="1" t="s">
        <v>0</v>
      </c>
      <c r="H107" s="35">
        <v>2.0211999999999999E-3</v>
      </c>
      <c r="I107" s="35">
        <v>4.3950000000000003E-6</v>
      </c>
    </row>
    <row r="108" spans="1:9" x14ac:dyDescent="0.2">
      <c r="A108" s="1" t="s">
        <v>86</v>
      </c>
      <c r="B108" s="1">
        <v>6</v>
      </c>
      <c r="D108" s="1">
        <v>4</v>
      </c>
      <c r="E108" s="1" t="s">
        <v>1</v>
      </c>
      <c r="H108" s="35">
        <v>-2.5990000000000002E-3</v>
      </c>
      <c r="I108" s="35">
        <v>-5.6520000000000003E-6</v>
      </c>
    </row>
    <row r="109" spans="1:9" x14ac:dyDescent="0.2">
      <c r="A109" s="1" t="s">
        <v>86</v>
      </c>
      <c r="B109" s="1">
        <v>6</v>
      </c>
      <c r="D109" s="1">
        <v>4</v>
      </c>
      <c r="E109" s="1" t="s">
        <v>2</v>
      </c>
      <c r="H109" s="35">
        <v>2.0687E-4</v>
      </c>
      <c r="I109" s="35">
        <v>4.4984000000000001E-7</v>
      </c>
    </row>
    <row r="110" spans="1:9" x14ac:dyDescent="0.2">
      <c r="A110" s="1" t="s">
        <v>86</v>
      </c>
      <c r="B110" s="1">
        <v>6</v>
      </c>
      <c r="D110" s="1">
        <v>3</v>
      </c>
      <c r="E110" s="1" t="s">
        <v>0</v>
      </c>
      <c r="H110" s="35">
        <v>-2.3230000000000001E-2</v>
      </c>
      <c r="I110" s="35">
        <v>-5.0519999999999997E-5</v>
      </c>
    </row>
    <row r="111" spans="1:9" x14ac:dyDescent="0.2">
      <c r="A111" s="1" t="s">
        <v>86</v>
      </c>
      <c r="B111" s="1">
        <v>6</v>
      </c>
      <c r="D111" s="1">
        <v>3</v>
      </c>
      <c r="E111" s="1" t="s">
        <v>1</v>
      </c>
      <c r="H111" s="35">
        <v>7.6327999999999993E-2</v>
      </c>
      <c r="I111" s="35">
        <v>1.6597000000000001E-4</v>
      </c>
    </row>
    <row r="112" spans="1:9" x14ac:dyDescent="0.2">
      <c r="A112" s="1" t="s">
        <v>86</v>
      </c>
      <c r="B112" s="1">
        <v>6</v>
      </c>
      <c r="D112" s="1">
        <v>3</v>
      </c>
      <c r="E112" s="1" t="s">
        <v>2</v>
      </c>
      <c r="H112" s="35">
        <v>-5.5560000000000002E-3</v>
      </c>
      <c r="I112" s="35">
        <v>-1.208E-5</v>
      </c>
    </row>
    <row r="113" spans="1:9" x14ac:dyDescent="0.2">
      <c r="A113" s="1" t="s">
        <v>86</v>
      </c>
      <c r="B113" s="1">
        <v>6</v>
      </c>
      <c r="D113" s="1">
        <v>2</v>
      </c>
      <c r="E113" s="1" t="s">
        <v>0</v>
      </c>
      <c r="H113" s="35">
        <v>-2.8629999999999999E-2</v>
      </c>
      <c r="I113" s="35">
        <v>-6.2260000000000004E-5</v>
      </c>
    </row>
    <row r="114" spans="1:9" x14ac:dyDescent="0.2">
      <c r="A114" s="1" t="s">
        <v>86</v>
      </c>
      <c r="B114" s="1">
        <v>6</v>
      </c>
      <c r="D114" s="1">
        <v>2</v>
      </c>
      <c r="E114" s="1" t="s">
        <v>1</v>
      </c>
      <c r="H114" s="35">
        <v>9.2896999999999993E-2</v>
      </c>
      <c r="I114" s="35">
        <v>2.02E-4</v>
      </c>
    </row>
    <row r="115" spans="1:9" x14ac:dyDescent="0.2">
      <c r="A115" s="1" t="s">
        <v>86</v>
      </c>
      <c r="B115" s="1">
        <v>6</v>
      </c>
      <c r="D115" s="1">
        <v>2</v>
      </c>
      <c r="E115" s="1" t="s">
        <v>2</v>
      </c>
      <c r="H115" s="35">
        <v>-6.7840000000000001E-3</v>
      </c>
      <c r="I115" s="35">
        <v>-1.4749999999999999E-5</v>
      </c>
    </row>
    <row r="116" spans="1:9" x14ac:dyDescent="0.2">
      <c r="A116" s="1" t="s">
        <v>86</v>
      </c>
      <c r="B116" s="1">
        <v>6</v>
      </c>
      <c r="D116" s="1">
        <v>1</v>
      </c>
      <c r="E116" s="1" t="s">
        <v>0</v>
      </c>
      <c r="H116" s="35">
        <v>-1.728E-2</v>
      </c>
      <c r="I116" s="35">
        <v>-3.7580000000000003E-5</v>
      </c>
    </row>
    <row r="117" spans="1:9" x14ac:dyDescent="0.2">
      <c r="A117" s="1" t="s">
        <v>86</v>
      </c>
      <c r="B117" s="1">
        <v>6</v>
      </c>
      <c r="D117" s="1">
        <v>1</v>
      </c>
      <c r="E117" s="1" t="s">
        <v>1</v>
      </c>
      <c r="H117" s="35">
        <v>5.6149999999999999E-2</v>
      </c>
      <c r="I117" s="35">
        <v>1.2210000000000001E-4</v>
      </c>
    </row>
    <row r="118" spans="1:9" x14ac:dyDescent="0.2">
      <c r="A118" s="1" t="s">
        <v>86</v>
      </c>
      <c r="B118" s="1">
        <v>6</v>
      </c>
      <c r="D118" s="1">
        <v>1</v>
      </c>
      <c r="E118" s="1" t="s">
        <v>2</v>
      </c>
      <c r="H118" s="35">
        <v>-4.1139999999999996E-3</v>
      </c>
      <c r="I118" s="35">
        <v>-8.9460000000000004E-6</v>
      </c>
    </row>
    <row r="119" spans="1:9" x14ac:dyDescent="0.2">
      <c r="A119" s="1" t="s">
        <v>86</v>
      </c>
      <c r="B119" s="1">
        <v>7</v>
      </c>
      <c r="E119" s="1" t="s">
        <v>89</v>
      </c>
      <c r="H119" s="1">
        <v>0.1215</v>
      </c>
      <c r="I119" s="1">
        <v>0.1215</v>
      </c>
    </row>
    <row r="120" spans="1:9" x14ac:dyDescent="0.2">
      <c r="A120" s="1" t="s">
        <v>86</v>
      </c>
      <c r="B120" s="1">
        <v>7</v>
      </c>
      <c r="E120" s="1" t="s">
        <v>90</v>
      </c>
      <c r="H120" s="1">
        <v>0</v>
      </c>
      <c r="I120" s="1">
        <v>4.2300000000000004</v>
      </c>
    </row>
    <row r="121" spans="1:9" x14ac:dyDescent="0.2">
      <c r="A121" s="1" t="s">
        <v>86</v>
      </c>
      <c r="B121" s="1">
        <v>7</v>
      </c>
      <c r="C121" s="1">
        <v>0.122</v>
      </c>
      <c r="D121" s="1">
        <v>5</v>
      </c>
      <c r="E121" s="1" t="s">
        <v>0</v>
      </c>
      <c r="H121" s="35">
        <v>6.8186000000000002E-6</v>
      </c>
      <c r="I121" s="35">
        <v>2.2246000000000002E-3</v>
      </c>
    </row>
    <row r="122" spans="1:9" x14ac:dyDescent="0.2">
      <c r="A122" s="1" t="s">
        <v>86</v>
      </c>
      <c r="B122" s="1">
        <v>7</v>
      </c>
      <c r="D122" s="1">
        <v>5</v>
      </c>
      <c r="E122" s="1" t="s">
        <v>1</v>
      </c>
      <c r="H122" s="35">
        <v>4.6907999999999997E-4</v>
      </c>
      <c r="I122" s="35">
        <v>0.15304000000000001</v>
      </c>
    </row>
    <row r="123" spans="1:9" x14ac:dyDescent="0.2">
      <c r="A123" s="1" t="s">
        <v>86</v>
      </c>
      <c r="B123" s="1">
        <v>7</v>
      </c>
      <c r="D123" s="1">
        <v>5</v>
      </c>
      <c r="E123" s="1" t="s">
        <v>2</v>
      </c>
      <c r="H123" s="35">
        <v>9.3676000000000003E-7</v>
      </c>
      <c r="I123" s="35">
        <v>3.0561999999999999E-4</v>
      </c>
    </row>
    <row r="124" spans="1:9" x14ac:dyDescent="0.2">
      <c r="A124" s="1" t="s">
        <v>86</v>
      </c>
      <c r="B124" s="1">
        <v>7</v>
      </c>
      <c r="D124" s="1">
        <v>4</v>
      </c>
      <c r="E124" s="1" t="s">
        <v>0</v>
      </c>
      <c r="H124" s="35">
        <v>-8.2670000000000006E-6</v>
      </c>
      <c r="I124" s="35">
        <v>-2.6970000000000002E-3</v>
      </c>
    </row>
    <row r="125" spans="1:9" x14ac:dyDescent="0.2">
      <c r="A125" s="1" t="s">
        <v>86</v>
      </c>
      <c r="B125" s="1">
        <v>7</v>
      </c>
      <c r="D125" s="1">
        <v>4</v>
      </c>
      <c r="E125" s="1" t="s">
        <v>1</v>
      </c>
      <c r="H125" s="35">
        <v>-5.8589999999999998E-4</v>
      </c>
      <c r="I125" s="35">
        <v>-0.19109999999999999</v>
      </c>
    </row>
    <row r="126" spans="1:9" x14ac:dyDescent="0.2">
      <c r="A126" s="1" t="s">
        <v>86</v>
      </c>
      <c r="B126" s="1">
        <v>7</v>
      </c>
      <c r="D126" s="1">
        <v>4</v>
      </c>
      <c r="E126" s="1" t="s">
        <v>2</v>
      </c>
      <c r="H126" s="35">
        <v>-1.248E-6</v>
      </c>
      <c r="I126" s="35">
        <v>-4.0719999999999998E-4</v>
      </c>
    </row>
    <row r="127" spans="1:9" x14ac:dyDescent="0.2">
      <c r="A127" s="1" t="s">
        <v>86</v>
      </c>
      <c r="B127" s="1">
        <v>7</v>
      </c>
      <c r="D127" s="1">
        <v>3</v>
      </c>
      <c r="E127" s="1" t="s">
        <v>0</v>
      </c>
      <c r="H127" s="35">
        <v>-5.5990000000000001E-6</v>
      </c>
      <c r="I127" s="35">
        <v>-1.8270000000000001E-3</v>
      </c>
    </row>
    <row r="128" spans="1:9" x14ac:dyDescent="0.2">
      <c r="A128" s="1" t="s">
        <v>86</v>
      </c>
      <c r="B128" s="1">
        <v>7</v>
      </c>
      <c r="D128" s="1">
        <v>3</v>
      </c>
      <c r="E128" s="1" t="s">
        <v>1</v>
      </c>
      <c r="H128" s="35">
        <v>-3.3419999999999999E-4</v>
      </c>
      <c r="I128" s="35">
        <v>-0.109</v>
      </c>
    </row>
    <row r="129" spans="1:9" x14ac:dyDescent="0.2">
      <c r="A129" s="1" t="s">
        <v>86</v>
      </c>
      <c r="B129" s="1">
        <v>7</v>
      </c>
      <c r="D129" s="1">
        <v>3</v>
      </c>
      <c r="E129" s="1" t="s">
        <v>2</v>
      </c>
      <c r="H129" s="35">
        <v>-8.512E-7</v>
      </c>
      <c r="I129" s="35">
        <v>-2.7769999999999997E-4</v>
      </c>
    </row>
    <row r="130" spans="1:9" x14ac:dyDescent="0.2">
      <c r="A130" s="1" t="s">
        <v>86</v>
      </c>
      <c r="B130" s="1">
        <v>7</v>
      </c>
      <c r="D130" s="1">
        <v>2</v>
      </c>
      <c r="E130" s="1" t="s">
        <v>0</v>
      </c>
      <c r="H130" s="35">
        <v>3.8480999999999996E-6</v>
      </c>
      <c r="I130" s="35">
        <v>1.2554E-3</v>
      </c>
    </row>
    <row r="131" spans="1:9" x14ac:dyDescent="0.2">
      <c r="A131" s="1" t="s">
        <v>86</v>
      </c>
      <c r="B131" s="1">
        <v>7</v>
      </c>
      <c r="D131" s="1">
        <v>2</v>
      </c>
      <c r="E131" s="1" t="s">
        <v>1</v>
      </c>
      <c r="H131" s="35">
        <v>4.1376E-4</v>
      </c>
      <c r="I131" s="35">
        <v>0.13499</v>
      </c>
    </row>
    <row r="132" spans="1:9" x14ac:dyDescent="0.2">
      <c r="A132" s="1" t="s">
        <v>86</v>
      </c>
      <c r="B132" s="1">
        <v>7</v>
      </c>
      <c r="D132" s="1">
        <v>2</v>
      </c>
      <c r="E132" s="1" t="s">
        <v>2</v>
      </c>
      <c r="H132" s="35">
        <v>5.1758999999999996E-7</v>
      </c>
      <c r="I132" s="35">
        <v>1.6886000000000001E-4</v>
      </c>
    </row>
    <row r="133" spans="1:9" x14ac:dyDescent="0.2">
      <c r="A133" s="1" t="s">
        <v>86</v>
      </c>
      <c r="B133" s="1">
        <v>7</v>
      </c>
      <c r="D133" s="1">
        <v>1</v>
      </c>
      <c r="E133" s="1" t="s">
        <v>0</v>
      </c>
      <c r="H133" s="35">
        <v>6.7596999999999998E-6</v>
      </c>
      <c r="I133" s="35">
        <v>2.2052999999999999E-3</v>
      </c>
    </row>
    <row r="134" spans="1:9" x14ac:dyDescent="0.2">
      <c r="A134" s="1" t="s">
        <v>86</v>
      </c>
      <c r="B134" s="1">
        <v>7</v>
      </c>
      <c r="D134" s="1">
        <v>1</v>
      </c>
      <c r="E134" s="1" t="s">
        <v>1</v>
      </c>
      <c r="H134" s="35">
        <v>5.5358999999999996E-4</v>
      </c>
      <c r="I134" s="35">
        <v>0.18060999999999999</v>
      </c>
    </row>
    <row r="135" spans="1:9" x14ac:dyDescent="0.2">
      <c r="A135" s="1" t="s">
        <v>86</v>
      </c>
      <c r="B135" s="1">
        <v>7</v>
      </c>
      <c r="D135" s="1">
        <v>1</v>
      </c>
      <c r="E135" s="1" t="s">
        <v>2</v>
      </c>
      <c r="H135" s="35">
        <v>9.4832999999999997E-7</v>
      </c>
      <c r="I135" s="35">
        <v>3.0938999999999999E-4</v>
      </c>
    </row>
    <row r="136" spans="1:9" x14ac:dyDescent="0.2">
      <c r="A136" s="1" t="s">
        <v>86</v>
      </c>
      <c r="B136" s="1">
        <v>8</v>
      </c>
      <c r="E136" s="1" t="s">
        <v>89</v>
      </c>
      <c r="H136" s="1">
        <v>0.1099</v>
      </c>
      <c r="I136" s="1">
        <v>0.1099</v>
      </c>
    </row>
    <row r="137" spans="1:9" x14ac:dyDescent="0.2">
      <c r="A137" s="1" t="s">
        <v>86</v>
      </c>
      <c r="B137" s="1">
        <v>8</v>
      </c>
      <c r="E137" s="1" t="s">
        <v>90</v>
      </c>
      <c r="H137" s="1">
        <v>3.5419999999999998</v>
      </c>
      <c r="I137" s="1">
        <v>0</v>
      </c>
    </row>
    <row r="138" spans="1:9" x14ac:dyDescent="0.2">
      <c r="A138" s="1" t="s">
        <v>86</v>
      </c>
      <c r="B138" s="1">
        <v>8</v>
      </c>
      <c r="C138" s="1">
        <v>0.11</v>
      </c>
      <c r="D138" s="1">
        <v>5</v>
      </c>
      <c r="E138" s="1" t="s">
        <v>0</v>
      </c>
      <c r="H138" s="35">
        <v>0.13852</v>
      </c>
      <c r="I138" s="35">
        <v>-8.6140000000000001E-4</v>
      </c>
    </row>
    <row r="139" spans="1:9" x14ac:dyDescent="0.2">
      <c r="A139" s="1" t="s">
        <v>86</v>
      </c>
      <c r="B139" s="1">
        <v>8</v>
      </c>
      <c r="D139" s="1">
        <v>5</v>
      </c>
      <c r="E139" s="1" t="s">
        <v>1</v>
      </c>
      <c r="H139" s="35">
        <v>-3.1260000000000003E-2</v>
      </c>
      <c r="I139" s="35">
        <v>1.9438999999999999E-4</v>
      </c>
    </row>
    <row r="140" spans="1:9" x14ac:dyDescent="0.2">
      <c r="A140" s="1" t="s">
        <v>86</v>
      </c>
      <c r="B140" s="1">
        <v>8</v>
      </c>
      <c r="D140" s="1">
        <v>5</v>
      </c>
      <c r="E140" s="1" t="s">
        <v>2</v>
      </c>
      <c r="H140" s="35">
        <v>2.2279000000000001E-3</v>
      </c>
      <c r="I140" s="35">
        <v>-1.385E-5</v>
      </c>
    </row>
    <row r="141" spans="1:9" x14ac:dyDescent="0.2">
      <c r="A141" s="1" t="s">
        <v>86</v>
      </c>
      <c r="B141" s="1">
        <v>8</v>
      </c>
      <c r="D141" s="1">
        <v>4</v>
      </c>
      <c r="E141" s="1" t="s">
        <v>0</v>
      </c>
      <c r="H141" s="35">
        <v>-0.1573</v>
      </c>
      <c r="I141" s="35">
        <v>9.7794000000000006E-4</v>
      </c>
    </row>
    <row r="142" spans="1:9" x14ac:dyDescent="0.2">
      <c r="A142" s="1" t="s">
        <v>86</v>
      </c>
      <c r="B142" s="1">
        <v>8</v>
      </c>
      <c r="D142" s="1">
        <v>4</v>
      </c>
      <c r="E142" s="1" t="s">
        <v>1</v>
      </c>
      <c r="H142" s="35">
        <v>2.4049000000000001E-2</v>
      </c>
      <c r="I142" s="35">
        <v>-1.496E-4</v>
      </c>
    </row>
    <row r="143" spans="1:9" x14ac:dyDescent="0.2">
      <c r="A143" s="1" t="s">
        <v>86</v>
      </c>
      <c r="B143" s="1">
        <v>8</v>
      </c>
      <c r="D143" s="1">
        <v>4</v>
      </c>
      <c r="E143" s="1" t="s">
        <v>2</v>
      </c>
      <c r="H143" s="35">
        <v>-1.6949999999999999E-3</v>
      </c>
      <c r="I143" s="35">
        <v>1.0543000000000001E-5</v>
      </c>
    </row>
    <row r="144" spans="1:9" x14ac:dyDescent="0.2">
      <c r="A144" s="1" t="s">
        <v>86</v>
      </c>
      <c r="B144" s="1">
        <v>8</v>
      </c>
      <c r="D144" s="1">
        <v>3</v>
      </c>
      <c r="E144" s="1" t="s">
        <v>0</v>
      </c>
      <c r="H144" s="35">
        <v>-0.10150000000000001</v>
      </c>
      <c r="I144" s="35">
        <v>6.3144000000000004E-4</v>
      </c>
    </row>
    <row r="145" spans="1:9" x14ac:dyDescent="0.2">
      <c r="A145" s="1" t="s">
        <v>86</v>
      </c>
      <c r="B145" s="1">
        <v>8</v>
      </c>
      <c r="D145" s="1">
        <v>3</v>
      </c>
      <c r="E145" s="1" t="s">
        <v>1</v>
      </c>
      <c r="H145" s="35">
        <v>1.6008000000000001E-2</v>
      </c>
      <c r="I145" s="35">
        <v>-9.9549999999999994E-5</v>
      </c>
    </row>
    <row r="146" spans="1:9" x14ac:dyDescent="0.2">
      <c r="A146" s="1" t="s">
        <v>86</v>
      </c>
      <c r="B146" s="1">
        <v>8</v>
      </c>
      <c r="D146" s="1">
        <v>3</v>
      </c>
      <c r="E146" s="1" t="s">
        <v>2</v>
      </c>
      <c r="H146" s="35">
        <v>-1.134E-3</v>
      </c>
      <c r="I146" s="35">
        <v>7.0531999999999997E-6</v>
      </c>
    </row>
    <row r="147" spans="1:9" x14ac:dyDescent="0.2">
      <c r="A147" s="1" t="s">
        <v>86</v>
      </c>
      <c r="B147" s="1">
        <v>8</v>
      </c>
      <c r="D147" s="1">
        <v>2</v>
      </c>
      <c r="E147" s="1" t="s">
        <v>0</v>
      </c>
      <c r="H147" s="35">
        <v>0.10088</v>
      </c>
      <c r="I147" s="35">
        <v>-6.2730000000000001E-4</v>
      </c>
    </row>
    <row r="148" spans="1:9" x14ac:dyDescent="0.2">
      <c r="A148" s="1" t="s">
        <v>86</v>
      </c>
      <c r="B148" s="1">
        <v>8</v>
      </c>
      <c r="D148" s="1">
        <v>2</v>
      </c>
      <c r="E148" s="1" t="s">
        <v>1</v>
      </c>
      <c r="H148" s="35">
        <v>-1.7100000000000001E-2</v>
      </c>
      <c r="I148" s="35">
        <v>1.0632999999999999E-4</v>
      </c>
    </row>
    <row r="149" spans="1:9" x14ac:dyDescent="0.2">
      <c r="A149" s="1" t="s">
        <v>86</v>
      </c>
      <c r="B149" s="1">
        <v>8</v>
      </c>
      <c r="D149" s="1">
        <v>2</v>
      </c>
      <c r="E149" s="1" t="s">
        <v>2</v>
      </c>
      <c r="H149" s="35">
        <v>1.2006E-3</v>
      </c>
      <c r="I149" s="35">
        <v>-7.4660000000000002E-6</v>
      </c>
    </row>
    <row r="150" spans="1:9" x14ac:dyDescent="0.2">
      <c r="A150" s="1" t="s">
        <v>86</v>
      </c>
      <c r="B150" s="1">
        <v>8</v>
      </c>
      <c r="D150" s="1">
        <v>1</v>
      </c>
      <c r="E150" s="1" t="s">
        <v>0</v>
      </c>
      <c r="H150" s="35">
        <v>0.15476000000000001</v>
      </c>
      <c r="I150" s="35">
        <v>-9.6239999999999997E-4</v>
      </c>
    </row>
    <row r="151" spans="1:9" x14ac:dyDescent="0.2">
      <c r="A151" s="1" t="s">
        <v>86</v>
      </c>
      <c r="B151" s="1">
        <v>8</v>
      </c>
      <c r="D151" s="1">
        <v>1</v>
      </c>
      <c r="E151" s="1" t="s">
        <v>1</v>
      </c>
      <c r="H151" s="35">
        <v>-2.5170000000000001E-2</v>
      </c>
      <c r="I151" s="35">
        <v>1.5651E-4</v>
      </c>
    </row>
    <row r="152" spans="1:9" x14ac:dyDescent="0.2">
      <c r="A152" s="1" t="s">
        <v>86</v>
      </c>
      <c r="B152" s="1">
        <v>8</v>
      </c>
      <c r="D152" s="1">
        <v>1</v>
      </c>
      <c r="E152" s="1" t="s">
        <v>2</v>
      </c>
      <c r="H152" s="35">
        <v>1.7779E-3</v>
      </c>
      <c r="I152" s="35">
        <v>-1.1060000000000001E-5</v>
      </c>
    </row>
    <row r="153" spans="1:9" x14ac:dyDescent="0.2">
      <c r="A153" s="1" t="s">
        <v>86</v>
      </c>
      <c r="B153" s="1">
        <v>9</v>
      </c>
      <c r="E153" s="1" t="s">
        <v>89</v>
      </c>
      <c r="H153" s="1">
        <v>9.4200000000000006E-2</v>
      </c>
      <c r="I153" s="1">
        <v>9.4200000000000006E-2</v>
      </c>
    </row>
    <row r="154" spans="1:9" x14ac:dyDescent="0.2">
      <c r="A154" s="1" t="s">
        <v>86</v>
      </c>
      <c r="B154" s="1">
        <v>9</v>
      </c>
      <c r="E154" s="1" t="s">
        <v>90</v>
      </c>
      <c r="H154" s="1">
        <v>4.5999999999999999E-2</v>
      </c>
      <c r="I154" s="1">
        <v>2E-3</v>
      </c>
    </row>
    <row r="155" spans="1:9" x14ac:dyDescent="0.2">
      <c r="A155" s="1" t="s">
        <v>86</v>
      </c>
      <c r="B155" s="1">
        <v>9</v>
      </c>
      <c r="C155" s="1">
        <v>9.4E-2</v>
      </c>
      <c r="D155" s="1">
        <v>5</v>
      </c>
      <c r="E155" s="1" t="s">
        <v>0</v>
      </c>
      <c r="H155" s="35">
        <v>-5.79E-3</v>
      </c>
      <c r="I155" s="35">
        <v>-1.098E-3</v>
      </c>
    </row>
    <row r="156" spans="1:9" x14ac:dyDescent="0.2">
      <c r="A156" s="1" t="s">
        <v>86</v>
      </c>
      <c r="B156" s="1">
        <v>9</v>
      </c>
      <c r="D156" s="1">
        <v>5</v>
      </c>
      <c r="E156" s="1" t="s">
        <v>1</v>
      </c>
      <c r="H156" s="35">
        <v>1.7670000000000002E-2</v>
      </c>
      <c r="I156" s="35">
        <v>3.3524000000000002E-3</v>
      </c>
    </row>
    <row r="157" spans="1:9" x14ac:dyDescent="0.2">
      <c r="A157" s="1" t="s">
        <v>86</v>
      </c>
      <c r="B157" s="1">
        <v>9</v>
      </c>
      <c r="D157" s="1">
        <v>5</v>
      </c>
      <c r="E157" s="1" t="s">
        <v>2</v>
      </c>
      <c r="H157" s="35">
        <v>-1.2719999999999999E-3</v>
      </c>
      <c r="I157" s="35">
        <v>-2.4140000000000001E-4</v>
      </c>
    </row>
    <row r="158" spans="1:9" x14ac:dyDescent="0.2">
      <c r="A158" s="1" t="s">
        <v>86</v>
      </c>
      <c r="B158" s="1">
        <v>9</v>
      </c>
      <c r="D158" s="1">
        <v>4</v>
      </c>
      <c r="E158" s="1" t="s">
        <v>0</v>
      </c>
      <c r="H158" s="35">
        <v>6.5161999999999998E-3</v>
      </c>
      <c r="I158" s="35">
        <v>1.2363000000000001E-3</v>
      </c>
    </row>
    <row r="159" spans="1:9" x14ac:dyDescent="0.2">
      <c r="A159" s="1" t="s">
        <v>86</v>
      </c>
      <c r="B159" s="1">
        <v>9</v>
      </c>
      <c r="D159" s="1">
        <v>4</v>
      </c>
      <c r="E159" s="1" t="s">
        <v>1</v>
      </c>
      <c r="H159" s="35">
        <v>-2.1899999999999999E-2</v>
      </c>
      <c r="I159" s="35">
        <v>-4.1549999999999998E-3</v>
      </c>
    </row>
    <row r="160" spans="1:9" x14ac:dyDescent="0.2">
      <c r="A160" s="1" t="s">
        <v>86</v>
      </c>
      <c r="B160" s="1">
        <v>9</v>
      </c>
      <c r="D160" s="1">
        <v>4</v>
      </c>
      <c r="E160" s="1" t="s">
        <v>2</v>
      </c>
      <c r="H160" s="35">
        <v>1.5801999999999999E-3</v>
      </c>
      <c r="I160" s="35">
        <v>2.9981000000000002E-4</v>
      </c>
    </row>
    <row r="161" spans="1:9" x14ac:dyDescent="0.2">
      <c r="A161" s="1" t="s">
        <v>86</v>
      </c>
      <c r="B161" s="1">
        <v>9</v>
      </c>
      <c r="D161" s="1">
        <v>3</v>
      </c>
      <c r="E161" s="1" t="s">
        <v>0</v>
      </c>
      <c r="H161" s="35">
        <v>3.6248000000000001E-3</v>
      </c>
      <c r="I161" s="35">
        <v>6.8771000000000001E-4</v>
      </c>
    </row>
    <row r="162" spans="1:9" x14ac:dyDescent="0.2">
      <c r="A162" s="1" t="s">
        <v>86</v>
      </c>
      <c r="B162" s="1">
        <v>9</v>
      </c>
      <c r="D162" s="1">
        <v>3</v>
      </c>
      <c r="E162" s="1" t="s">
        <v>1</v>
      </c>
      <c r="H162" s="35">
        <v>-1.2279999999999999E-2</v>
      </c>
      <c r="I162" s="35">
        <v>-2.3289999999999999E-3</v>
      </c>
    </row>
    <row r="163" spans="1:9" x14ac:dyDescent="0.2">
      <c r="A163" s="1" t="s">
        <v>86</v>
      </c>
      <c r="B163" s="1">
        <v>9</v>
      </c>
      <c r="D163" s="1">
        <v>3</v>
      </c>
      <c r="E163" s="1" t="s">
        <v>2</v>
      </c>
      <c r="H163" s="35">
        <v>8.853E-4</v>
      </c>
      <c r="I163" s="35">
        <v>1.6796000000000001E-4</v>
      </c>
    </row>
    <row r="164" spans="1:9" x14ac:dyDescent="0.2">
      <c r="A164" s="1" t="s">
        <v>86</v>
      </c>
      <c r="B164" s="1">
        <v>9</v>
      </c>
      <c r="D164" s="1">
        <v>2</v>
      </c>
      <c r="E164" s="1" t="s">
        <v>0</v>
      </c>
      <c r="H164" s="35">
        <v>-4.5739999999999999E-3</v>
      </c>
      <c r="I164" s="35">
        <v>-8.6779999999999995E-4</v>
      </c>
    </row>
    <row r="165" spans="1:9" x14ac:dyDescent="0.2">
      <c r="A165" s="1" t="s">
        <v>86</v>
      </c>
      <c r="B165" s="1">
        <v>9</v>
      </c>
      <c r="D165" s="1">
        <v>2</v>
      </c>
      <c r="E165" s="1" t="s">
        <v>1</v>
      </c>
      <c r="H165" s="35">
        <v>1.5192000000000001E-2</v>
      </c>
      <c r="I165" s="35">
        <v>2.8823E-3</v>
      </c>
    </row>
    <row r="166" spans="1:9" x14ac:dyDescent="0.2">
      <c r="A166" s="1" t="s">
        <v>86</v>
      </c>
      <c r="B166" s="1">
        <v>9</v>
      </c>
      <c r="D166" s="1">
        <v>2</v>
      </c>
      <c r="E166" s="1" t="s">
        <v>2</v>
      </c>
      <c r="H166" s="35">
        <v>-1.093E-3</v>
      </c>
      <c r="I166" s="35">
        <v>-2.073E-4</v>
      </c>
    </row>
    <row r="167" spans="1:9" x14ac:dyDescent="0.2">
      <c r="A167" s="1" t="s">
        <v>86</v>
      </c>
      <c r="B167" s="1">
        <v>9</v>
      </c>
      <c r="D167" s="1">
        <v>1</v>
      </c>
      <c r="E167" s="1" t="s">
        <v>0</v>
      </c>
      <c r="H167" s="35">
        <v>-6.0650000000000001E-3</v>
      </c>
      <c r="I167" s="35">
        <v>-1.1509999999999999E-3</v>
      </c>
    </row>
    <row r="168" spans="1:9" x14ac:dyDescent="0.2">
      <c r="A168" s="1" t="s">
        <v>86</v>
      </c>
      <c r="B168" s="1">
        <v>9</v>
      </c>
      <c r="D168" s="1">
        <v>1</v>
      </c>
      <c r="E168" s="1" t="s">
        <v>1</v>
      </c>
      <c r="H168" s="35">
        <v>2.0423E-2</v>
      </c>
      <c r="I168" s="35">
        <v>3.8747999999999999E-3</v>
      </c>
    </row>
    <row r="169" spans="1:9" x14ac:dyDescent="0.2">
      <c r="A169" s="1" t="s">
        <v>86</v>
      </c>
      <c r="B169" s="1">
        <v>9</v>
      </c>
      <c r="D169" s="1">
        <v>1</v>
      </c>
      <c r="E169" s="1" t="s">
        <v>2</v>
      </c>
      <c r="H169" s="35">
        <v>-1.472E-3</v>
      </c>
      <c r="I169" s="35">
        <v>-2.7930000000000001E-4</v>
      </c>
    </row>
    <row r="170" spans="1:9" x14ac:dyDescent="0.2">
      <c r="A170" s="1" t="s">
        <v>86</v>
      </c>
      <c r="B170" s="1">
        <v>10</v>
      </c>
      <c r="E170" s="1" t="s">
        <v>89</v>
      </c>
      <c r="H170" s="1">
        <v>7.8100000000000003E-2</v>
      </c>
      <c r="I170" s="1">
        <v>7.8100000000000003E-2</v>
      </c>
    </row>
    <row r="171" spans="1:9" x14ac:dyDescent="0.2">
      <c r="A171" s="1" t="s">
        <v>86</v>
      </c>
      <c r="B171" s="1">
        <v>10</v>
      </c>
      <c r="E171" s="1" t="s">
        <v>90</v>
      </c>
      <c r="H171" s="1">
        <v>0</v>
      </c>
      <c r="I171" s="1">
        <v>1.7609999999999999</v>
      </c>
    </row>
    <row r="172" spans="1:9" x14ac:dyDescent="0.2">
      <c r="A172" s="1" t="s">
        <v>86</v>
      </c>
      <c r="B172" s="1">
        <v>10</v>
      </c>
      <c r="C172" s="1">
        <v>7.8E-2</v>
      </c>
      <c r="D172" s="1">
        <v>5</v>
      </c>
      <c r="E172" s="1" t="s">
        <v>0</v>
      </c>
      <c r="H172" s="35">
        <v>-7.5700000000000004E-6</v>
      </c>
      <c r="I172" s="35">
        <v>-6.8820000000000003E-4</v>
      </c>
    </row>
    <row r="173" spans="1:9" x14ac:dyDescent="0.2">
      <c r="A173" s="1" t="s">
        <v>86</v>
      </c>
      <c r="B173" s="1">
        <v>10</v>
      </c>
      <c r="D173" s="1">
        <v>5</v>
      </c>
      <c r="E173" s="1" t="s">
        <v>1</v>
      </c>
      <c r="H173" s="35">
        <v>-2.5989999999999997E-4</v>
      </c>
      <c r="I173" s="35">
        <v>-2.3630000000000002E-2</v>
      </c>
    </row>
    <row r="174" spans="1:9" x14ac:dyDescent="0.2">
      <c r="A174" s="1" t="s">
        <v>86</v>
      </c>
      <c r="B174" s="1">
        <v>10</v>
      </c>
      <c r="D174" s="1">
        <v>5</v>
      </c>
      <c r="E174" s="1" t="s">
        <v>2</v>
      </c>
      <c r="H174" s="35">
        <v>-7.2389999999999996E-7</v>
      </c>
      <c r="I174" s="35">
        <v>-6.5809999999999995E-5</v>
      </c>
    </row>
    <row r="175" spans="1:9" x14ac:dyDescent="0.2">
      <c r="A175" s="1" t="s">
        <v>86</v>
      </c>
      <c r="B175" s="1">
        <v>10</v>
      </c>
      <c r="D175" s="1">
        <v>4</v>
      </c>
      <c r="E175" s="1" t="s">
        <v>0</v>
      </c>
      <c r="H175" s="35">
        <v>1.9864000000000002E-5</v>
      </c>
      <c r="I175" s="35">
        <v>1.8058E-3</v>
      </c>
    </row>
    <row r="176" spans="1:9" x14ac:dyDescent="0.2">
      <c r="A176" s="1" t="s">
        <v>86</v>
      </c>
      <c r="B176" s="1">
        <v>10</v>
      </c>
      <c r="D176" s="1">
        <v>4</v>
      </c>
      <c r="E176" s="1" t="s">
        <v>1</v>
      </c>
      <c r="H176" s="35">
        <v>6.7166000000000003E-4</v>
      </c>
      <c r="I176" s="35">
        <v>6.1059000000000002E-2</v>
      </c>
    </row>
    <row r="177" spans="1:9" x14ac:dyDescent="0.2">
      <c r="A177" s="1" t="s">
        <v>86</v>
      </c>
      <c r="B177" s="1">
        <v>10</v>
      </c>
      <c r="D177" s="1">
        <v>4</v>
      </c>
      <c r="E177" s="1" t="s">
        <v>2</v>
      </c>
      <c r="H177" s="35">
        <v>2.1562000000000002E-6</v>
      </c>
      <c r="I177" s="35">
        <v>1.9602000000000001E-4</v>
      </c>
    </row>
    <row r="178" spans="1:9" x14ac:dyDescent="0.2">
      <c r="A178" s="1" t="s">
        <v>86</v>
      </c>
      <c r="B178" s="1">
        <v>10</v>
      </c>
      <c r="D178" s="1">
        <v>3</v>
      </c>
      <c r="E178" s="1" t="s">
        <v>0</v>
      </c>
      <c r="H178" s="35">
        <v>-1.7309999999999999E-5</v>
      </c>
      <c r="I178" s="35">
        <v>-1.573E-3</v>
      </c>
    </row>
    <row r="179" spans="1:9" x14ac:dyDescent="0.2">
      <c r="A179" s="1" t="s">
        <v>86</v>
      </c>
      <c r="B179" s="1">
        <v>10</v>
      </c>
      <c r="D179" s="1">
        <v>3</v>
      </c>
      <c r="E179" s="1" t="s">
        <v>1</v>
      </c>
      <c r="H179" s="35">
        <v>-5.6720000000000002E-4</v>
      </c>
      <c r="I179" s="35">
        <v>-5.1569999999999998E-2</v>
      </c>
    </row>
    <row r="180" spans="1:9" x14ac:dyDescent="0.2">
      <c r="A180" s="1" t="s">
        <v>86</v>
      </c>
      <c r="B180" s="1">
        <v>10</v>
      </c>
      <c r="D180" s="1">
        <v>3</v>
      </c>
      <c r="E180" s="1" t="s">
        <v>2</v>
      </c>
      <c r="H180" s="35">
        <v>-1.9889999999999999E-6</v>
      </c>
      <c r="I180" s="35">
        <v>-1.8090000000000001E-4</v>
      </c>
    </row>
    <row r="181" spans="1:9" x14ac:dyDescent="0.2">
      <c r="A181" s="1" t="s">
        <v>86</v>
      </c>
      <c r="B181" s="1">
        <v>10</v>
      </c>
      <c r="D181" s="1">
        <v>2</v>
      </c>
      <c r="E181" s="1" t="s">
        <v>0</v>
      </c>
      <c r="H181" s="35">
        <v>-6.2840000000000003E-6</v>
      </c>
      <c r="I181" s="35">
        <v>-5.7129999999999995E-4</v>
      </c>
    </row>
    <row r="182" spans="1:9" x14ac:dyDescent="0.2">
      <c r="A182" s="1" t="s">
        <v>86</v>
      </c>
      <c r="B182" s="1">
        <v>10</v>
      </c>
      <c r="D182" s="1">
        <v>2</v>
      </c>
      <c r="E182" s="1" t="s">
        <v>1</v>
      </c>
      <c r="H182" s="35">
        <v>-1.9230000000000001E-4</v>
      </c>
      <c r="I182" s="35">
        <v>-1.7479999999999999E-2</v>
      </c>
    </row>
    <row r="183" spans="1:9" x14ac:dyDescent="0.2">
      <c r="A183" s="1" t="s">
        <v>86</v>
      </c>
      <c r="B183" s="1">
        <v>10</v>
      </c>
      <c r="D183" s="1">
        <v>2</v>
      </c>
      <c r="E183" s="1" t="s">
        <v>2</v>
      </c>
      <c r="H183" s="35">
        <v>-6.7339999999999998E-7</v>
      </c>
      <c r="I183" s="35">
        <v>-6.122E-5</v>
      </c>
    </row>
    <row r="184" spans="1:9" x14ac:dyDescent="0.2">
      <c r="A184" s="1" t="s">
        <v>86</v>
      </c>
      <c r="B184" s="1">
        <v>10</v>
      </c>
      <c r="D184" s="1">
        <v>1</v>
      </c>
      <c r="E184" s="1" t="s">
        <v>0</v>
      </c>
      <c r="H184" s="35">
        <v>1.9043E-5</v>
      </c>
      <c r="I184" s="35">
        <v>1.7311E-3</v>
      </c>
    </row>
    <row r="185" spans="1:9" x14ac:dyDescent="0.2">
      <c r="A185" s="1" t="s">
        <v>86</v>
      </c>
      <c r="B185" s="1">
        <v>10</v>
      </c>
      <c r="D185" s="1">
        <v>1</v>
      </c>
      <c r="E185" s="1" t="s">
        <v>1</v>
      </c>
      <c r="H185" s="35">
        <v>6.6518000000000002E-4</v>
      </c>
      <c r="I185" s="35">
        <v>6.0470000000000003E-2</v>
      </c>
    </row>
    <row r="186" spans="1:9" x14ac:dyDescent="0.2">
      <c r="A186" s="1" t="s">
        <v>86</v>
      </c>
      <c r="B186" s="1">
        <v>10</v>
      </c>
      <c r="D186" s="1">
        <v>1</v>
      </c>
      <c r="E186" s="1" t="s">
        <v>2</v>
      </c>
      <c r="H186" s="35">
        <v>2.1163E-6</v>
      </c>
      <c r="I186" s="35">
        <v>1.9238999999999999E-4</v>
      </c>
    </row>
    <row r="187" spans="1:9" x14ac:dyDescent="0.2">
      <c r="H187" s="2"/>
      <c r="I187" s="2"/>
    </row>
    <row r="188" spans="1:9" x14ac:dyDescent="0.2">
      <c r="H188" s="2"/>
      <c r="I188" s="2"/>
    </row>
    <row r="189" spans="1:9" x14ac:dyDescent="0.2">
      <c r="H189" s="2"/>
      <c r="I189" s="2"/>
    </row>
    <row r="190" spans="1:9" x14ac:dyDescent="0.2">
      <c r="H190" s="2"/>
      <c r="I190" s="2"/>
    </row>
    <row r="191" spans="1:9" x14ac:dyDescent="0.2">
      <c r="H191" s="2"/>
      <c r="I191" s="2"/>
    </row>
    <row r="192" spans="1:9" x14ac:dyDescent="0.2">
      <c r="H192" s="2"/>
      <c r="I192" s="2"/>
    </row>
    <row r="193" spans="8:10" x14ac:dyDescent="0.2">
      <c r="H193" s="2"/>
      <c r="I193" s="2"/>
    </row>
    <row r="194" spans="8:10" x14ac:dyDescent="0.2">
      <c r="H194" s="2"/>
      <c r="I194" s="2"/>
    </row>
    <row r="195" spans="8:10" x14ac:dyDescent="0.2">
      <c r="H195" s="2"/>
      <c r="I195" s="2"/>
    </row>
    <row r="196" spans="8:10" x14ac:dyDescent="0.2">
      <c r="H196" s="2"/>
      <c r="I196" s="2"/>
    </row>
    <row r="197" spans="8:10" x14ac:dyDescent="0.2">
      <c r="H197" s="2"/>
      <c r="I197" s="2"/>
    </row>
    <row r="198" spans="8:10" x14ac:dyDescent="0.2">
      <c r="H198" s="2"/>
      <c r="I198" s="2"/>
    </row>
    <row r="199" spans="8:10" x14ac:dyDescent="0.2">
      <c r="H199" s="2"/>
      <c r="I199" s="2"/>
    </row>
    <row r="202" spans="8:10" x14ac:dyDescent="0.2">
      <c r="H202" s="2"/>
      <c r="I202" s="2"/>
      <c r="J202" s="2"/>
    </row>
    <row r="203" spans="8:10" x14ac:dyDescent="0.2">
      <c r="H203" s="2"/>
      <c r="I203" s="2"/>
      <c r="J203" s="2"/>
    </row>
    <row r="204" spans="8:10" x14ac:dyDescent="0.2">
      <c r="H204" s="2"/>
      <c r="I204" s="2"/>
      <c r="J204" s="2"/>
    </row>
    <row r="205" spans="8:10" x14ac:dyDescent="0.2">
      <c r="H205" s="2"/>
      <c r="I205" s="2"/>
      <c r="J205" s="2"/>
    </row>
    <row r="206" spans="8:10" x14ac:dyDescent="0.2">
      <c r="H206" s="2"/>
      <c r="I206" s="2"/>
      <c r="J206" s="2"/>
    </row>
    <row r="207" spans="8:10" x14ac:dyDescent="0.2">
      <c r="H207" s="2"/>
      <c r="I207" s="2"/>
      <c r="J207" s="2"/>
    </row>
    <row r="208" spans="8:10" x14ac:dyDescent="0.2">
      <c r="H208" s="2"/>
      <c r="I208" s="2"/>
      <c r="J208" s="2"/>
    </row>
    <row r="209" spans="8:10" x14ac:dyDescent="0.2">
      <c r="H209" s="2"/>
      <c r="I209" s="2"/>
      <c r="J209" s="2"/>
    </row>
    <row r="210" spans="8:10" x14ac:dyDescent="0.2">
      <c r="H210" s="2"/>
      <c r="I210" s="2"/>
      <c r="J210" s="2"/>
    </row>
    <row r="211" spans="8:10" x14ac:dyDescent="0.2">
      <c r="H211" s="2"/>
      <c r="I211" s="2"/>
      <c r="J211" s="2"/>
    </row>
    <row r="212" spans="8:10" x14ac:dyDescent="0.2">
      <c r="H212" s="2"/>
      <c r="I212" s="2"/>
      <c r="J212" s="2"/>
    </row>
    <row r="213" spans="8:10" x14ac:dyDescent="0.2">
      <c r="H213" s="2"/>
      <c r="I213" s="2"/>
      <c r="J213" s="2"/>
    </row>
    <row r="214" spans="8:10" x14ac:dyDescent="0.2">
      <c r="H214" s="2"/>
      <c r="I214" s="2"/>
      <c r="J214" s="2"/>
    </row>
    <row r="215" spans="8:10" x14ac:dyDescent="0.2">
      <c r="H215" s="2"/>
      <c r="I215" s="2"/>
      <c r="J215" s="2"/>
    </row>
    <row r="216" spans="8:10" x14ac:dyDescent="0.2">
      <c r="H216" s="2"/>
      <c r="I216" s="2"/>
      <c r="J216" s="2"/>
    </row>
    <row r="217" spans="8:10" x14ac:dyDescent="0.2">
      <c r="H217" s="2"/>
      <c r="I217" s="2"/>
      <c r="J217" s="2"/>
    </row>
    <row r="218" spans="8:10" x14ac:dyDescent="0.2">
      <c r="H218" s="2"/>
      <c r="I218" s="2"/>
      <c r="J218" s="2"/>
    </row>
    <row r="219" spans="8:10" x14ac:dyDescent="0.2">
      <c r="H219" s="2"/>
      <c r="I219" s="2"/>
      <c r="J219" s="2"/>
    </row>
    <row r="222" spans="8:10" x14ac:dyDescent="0.2">
      <c r="H222" s="2"/>
      <c r="I222" s="2"/>
    </row>
    <row r="223" spans="8:10" x14ac:dyDescent="0.2">
      <c r="H223" s="2"/>
      <c r="I223" s="2"/>
    </row>
    <row r="224" spans="8:10" x14ac:dyDescent="0.2">
      <c r="H224" s="2"/>
      <c r="I224" s="2"/>
    </row>
    <row r="225" spans="8:9" x14ac:dyDescent="0.2">
      <c r="H225" s="2"/>
      <c r="I225" s="2"/>
    </row>
    <row r="226" spans="8:9" x14ac:dyDescent="0.2">
      <c r="H226" s="2"/>
      <c r="I226" s="2"/>
    </row>
    <row r="227" spans="8:9" x14ac:dyDescent="0.2">
      <c r="H227" s="2"/>
      <c r="I227" s="2"/>
    </row>
    <row r="228" spans="8:9" x14ac:dyDescent="0.2">
      <c r="H228" s="2"/>
      <c r="I228" s="2"/>
    </row>
    <row r="229" spans="8:9" x14ac:dyDescent="0.2">
      <c r="H229" s="2"/>
      <c r="I229" s="2"/>
    </row>
    <row r="230" spans="8:9" x14ac:dyDescent="0.2">
      <c r="H230" s="2"/>
      <c r="I230" s="2"/>
    </row>
    <row r="231" spans="8:9" x14ac:dyDescent="0.2">
      <c r="H231" s="2"/>
      <c r="I231" s="2"/>
    </row>
    <row r="232" spans="8:9" x14ac:dyDescent="0.2">
      <c r="H232" s="2"/>
      <c r="I232" s="2"/>
    </row>
    <row r="233" spans="8:9" x14ac:dyDescent="0.2">
      <c r="H233" s="2"/>
      <c r="I233" s="2"/>
    </row>
    <row r="234" spans="8:9" x14ac:dyDescent="0.2">
      <c r="H234" s="2"/>
      <c r="I234" s="2"/>
    </row>
    <row r="235" spans="8:9" x14ac:dyDescent="0.2">
      <c r="H235" s="2"/>
      <c r="I235" s="2"/>
    </row>
    <row r="236" spans="8:9" x14ac:dyDescent="0.2">
      <c r="H236" s="2"/>
      <c r="I236" s="2"/>
    </row>
    <row r="237" spans="8:9" x14ac:dyDescent="0.2">
      <c r="H237" s="2"/>
      <c r="I237" s="2"/>
    </row>
    <row r="238" spans="8:9" x14ac:dyDescent="0.2">
      <c r="H238" s="2"/>
      <c r="I238" s="2"/>
    </row>
    <row r="239" spans="8:9" x14ac:dyDescent="0.2">
      <c r="H239" s="2"/>
      <c r="I239" s="2"/>
    </row>
    <row r="242" spans="8:9" x14ac:dyDescent="0.2">
      <c r="H242" s="2"/>
      <c r="I242" s="2"/>
    </row>
    <row r="243" spans="8:9" x14ac:dyDescent="0.2">
      <c r="H243" s="2"/>
      <c r="I243" s="2"/>
    </row>
    <row r="244" spans="8:9" x14ac:dyDescent="0.2">
      <c r="H244" s="2"/>
      <c r="I244" s="2"/>
    </row>
    <row r="245" spans="8:9" x14ac:dyDescent="0.2">
      <c r="H245" s="2"/>
      <c r="I245" s="2"/>
    </row>
    <row r="246" spans="8:9" x14ac:dyDescent="0.2">
      <c r="H246" s="2"/>
      <c r="I246" s="2"/>
    </row>
    <row r="247" spans="8:9" x14ac:dyDescent="0.2">
      <c r="H247" s="2"/>
      <c r="I247" s="2"/>
    </row>
    <row r="248" spans="8:9" x14ac:dyDescent="0.2">
      <c r="H248" s="2"/>
      <c r="I248" s="2"/>
    </row>
    <row r="249" spans="8:9" x14ac:dyDescent="0.2">
      <c r="H249" s="2"/>
      <c r="I249" s="2"/>
    </row>
    <row r="250" spans="8:9" x14ac:dyDescent="0.2">
      <c r="H250" s="2"/>
      <c r="I250" s="2"/>
    </row>
    <row r="251" spans="8:9" x14ac:dyDescent="0.2">
      <c r="H251" s="2"/>
      <c r="I251" s="2"/>
    </row>
    <row r="252" spans="8:9" x14ac:dyDescent="0.2">
      <c r="H252" s="2"/>
      <c r="I252" s="2"/>
    </row>
    <row r="253" spans="8:9" x14ac:dyDescent="0.2">
      <c r="H253" s="2"/>
      <c r="I253" s="2"/>
    </row>
    <row r="254" spans="8:9" x14ac:dyDescent="0.2">
      <c r="H254" s="2"/>
      <c r="I254" s="2"/>
    </row>
    <row r="255" spans="8:9" x14ac:dyDescent="0.2">
      <c r="H255" s="2"/>
      <c r="I255" s="2"/>
    </row>
    <row r="256" spans="8:9" x14ac:dyDescent="0.2">
      <c r="H256" s="2"/>
      <c r="I256" s="2"/>
    </row>
    <row r="257" spans="8:9" x14ac:dyDescent="0.2">
      <c r="H257" s="2"/>
      <c r="I257" s="2"/>
    </row>
    <row r="258" spans="8:9" x14ac:dyDescent="0.2">
      <c r="H258" s="2"/>
      <c r="I258" s="2"/>
    </row>
    <row r="259" spans="8:9" x14ac:dyDescent="0.2">
      <c r="H259" s="2"/>
      <c r="I259" s="2"/>
    </row>
    <row r="262" spans="8:9" x14ac:dyDescent="0.2">
      <c r="H262" s="2"/>
      <c r="I262" s="2"/>
    </row>
    <row r="263" spans="8:9" x14ac:dyDescent="0.2">
      <c r="H263" s="2"/>
      <c r="I263" s="2"/>
    </row>
    <row r="264" spans="8:9" x14ac:dyDescent="0.2">
      <c r="H264" s="2"/>
      <c r="I264" s="2"/>
    </row>
    <row r="265" spans="8:9" x14ac:dyDescent="0.2">
      <c r="H265" s="2"/>
      <c r="I265" s="2"/>
    </row>
    <row r="266" spans="8:9" x14ac:dyDescent="0.2">
      <c r="H266" s="2"/>
      <c r="I266" s="2"/>
    </row>
    <row r="267" spans="8:9" x14ac:dyDescent="0.2">
      <c r="H267" s="2"/>
      <c r="I267" s="2"/>
    </row>
    <row r="268" spans="8:9" x14ac:dyDescent="0.2">
      <c r="H268" s="2"/>
      <c r="I268" s="2"/>
    </row>
    <row r="269" spans="8:9" x14ac:dyDescent="0.2">
      <c r="H269" s="2"/>
      <c r="I269" s="2"/>
    </row>
    <row r="270" spans="8:9" x14ac:dyDescent="0.2">
      <c r="H270" s="2"/>
      <c r="I270" s="2"/>
    </row>
    <row r="271" spans="8:9" x14ac:dyDescent="0.2">
      <c r="H271" s="2"/>
      <c r="I271" s="2"/>
    </row>
    <row r="272" spans="8:9" x14ac:dyDescent="0.2">
      <c r="H272" s="2"/>
      <c r="I272" s="2"/>
    </row>
    <row r="273" spans="8:9" x14ac:dyDescent="0.2">
      <c r="H273" s="2"/>
      <c r="I273" s="2"/>
    </row>
    <row r="274" spans="8:9" x14ac:dyDescent="0.2">
      <c r="H274" s="2"/>
      <c r="I274" s="2"/>
    </row>
    <row r="275" spans="8:9" x14ac:dyDescent="0.2">
      <c r="H275" s="2"/>
      <c r="I275" s="2"/>
    </row>
    <row r="276" spans="8:9" x14ac:dyDescent="0.2">
      <c r="H276" s="2"/>
      <c r="I276" s="2"/>
    </row>
    <row r="277" spans="8:9" x14ac:dyDescent="0.2">
      <c r="H277" s="2"/>
      <c r="I277" s="2"/>
    </row>
    <row r="278" spans="8:9" x14ac:dyDescent="0.2">
      <c r="H278" s="2"/>
      <c r="I278" s="2"/>
    </row>
    <row r="279" spans="8:9" x14ac:dyDescent="0.2">
      <c r="H279" s="2"/>
      <c r="I279" s="2"/>
    </row>
    <row r="282" spans="8:9" x14ac:dyDescent="0.2">
      <c r="H282" s="2"/>
      <c r="I282" s="2"/>
    </row>
    <row r="283" spans="8:9" x14ac:dyDescent="0.2">
      <c r="H283" s="2"/>
      <c r="I283" s="2"/>
    </row>
    <row r="284" spans="8:9" x14ac:dyDescent="0.2">
      <c r="H284" s="2"/>
      <c r="I284" s="2"/>
    </row>
    <row r="285" spans="8:9" x14ac:dyDescent="0.2">
      <c r="H285" s="2"/>
      <c r="I285" s="2"/>
    </row>
    <row r="286" spans="8:9" x14ac:dyDescent="0.2">
      <c r="H286" s="2"/>
      <c r="I286" s="2"/>
    </row>
    <row r="287" spans="8:9" x14ac:dyDescent="0.2">
      <c r="H287" s="2"/>
      <c r="I287" s="2"/>
    </row>
    <row r="288" spans="8:9" x14ac:dyDescent="0.2">
      <c r="H288" s="2"/>
      <c r="I288" s="2"/>
    </row>
    <row r="289" spans="8:9" x14ac:dyDescent="0.2">
      <c r="H289" s="2"/>
      <c r="I289" s="2"/>
    </row>
    <row r="290" spans="8:9" x14ac:dyDescent="0.2">
      <c r="H290" s="2"/>
      <c r="I290" s="2"/>
    </row>
    <row r="291" spans="8:9" x14ac:dyDescent="0.2">
      <c r="H291" s="2"/>
      <c r="I291" s="2"/>
    </row>
    <row r="292" spans="8:9" x14ac:dyDescent="0.2">
      <c r="H292" s="2"/>
      <c r="I292" s="2"/>
    </row>
    <row r="293" spans="8:9" x14ac:dyDescent="0.2">
      <c r="H293" s="2"/>
      <c r="I293" s="2"/>
    </row>
    <row r="294" spans="8:9" x14ac:dyDescent="0.2">
      <c r="H294" s="2"/>
      <c r="I294" s="2"/>
    </row>
    <row r="295" spans="8:9" x14ac:dyDescent="0.2">
      <c r="H295" s="2"/>
      <c r="I295" s="2"/>
    </row>
    <row r="296" spans="8:9" x14ac:dyDescent="0.2">
      <c r="H296" s="2"/>
      <c r="I296" s="2"/>
    </row>
    <row r="297" spans="8:9" x14ac:dyDescent="0.2">
      <c r="H297" s="2"/>
      <c r="I297" s="2"/>
    </row>
    <row r="298" spans="8:9" x14ac:dyDescent="0.2">
      <c r="H298" s="2"/>
      <c r="I298" s="2"/>
    </row>
    <row r="299" spans="8:9" x14ac:dyDescent="0.2">
      <c r="H299" s="2"/>
      <c r="I299" s="2"/>
    </row>
    <row r="302" spans="8:9" x14ac:dyDescent="0.2">
      <c r="H302" s="2"/>
      <c r="I302" s="2"/>
    </row>
    <row r="303" spans="8:9" x14ac:dyDescent="0.2">
      <c r="H303" s="2"/>
      <c r="I303" s="2"/>
    </row>
    <row r="304" spans="8:9" x14ac:dyDescent="0.2">
      <c r="H304" s="2"/>
      <c r="I304" s="2"/>
    </row>
    <row r="305" spans="8:9" x14ac:dyDescent="0.2">
      <c r="H305" s="2"/>
      <c r="I305" s="2"/>
    </row>
    <row r="306" spans="8:9" x14ac:dyDescent="0.2">
      <c r="H306" s="2"/>
      <c r="I306" s="2"/>
    </row>
    <row r="307" spans="8:9" x14ac:dyDescent="0.2">
      <c r="H307" s="2"/>
      <c r="I307" s="2"/>
    </row>
    <row r="308" spans="8:9" x14ac:dyDescent="0.2">
      <c r="H308" s="2"/>
      <c r="I308" s="2"/>
    </row>
    <row r="309" spans="8:9" x14ac:dyDescent="0.2">
      <c r="H309" s="2"/>
      <c r="I309" s="2"/>
    </row>
    <row r="310" spans="8:9" x14ac:dyDescent="0.2">
      <c r="H310" s="2"/>
      <c r="I310" s="2"/>
    </row>
    <row r="311" spans="8:9" x14ac:dyDescent="0.2">
      <c r="H311" s="2"/>
      <c r="I311" s="2"/>
    </row>
    <row r="312" spans="8:9" x14ac:dyDescent="0.2">
      <c r="H312" s="2"/>
      <c r="I312" s="2"/>
    </row>
    <row r="313" spans="8:9" x14ac:dyDescent="0.2">
      <c r="H313" s="2"/>
      <c r="I313" s="2"/>
    </row>
    <row r="314" spans="8:9" x14ac:dyDescent="0.2">
      <c r="H314" s="2"/>
      <c r="I314" s="2"/>
    </row>
    <row r="315" spans="8:9" x14ac:dyDescent="0.2">
      <c r="H315" s="2"/>
      <c r="I315" s="2"/>
    </row>
    <row r="316" spans="8:9" x14ac:dyDescent="0.2">
      <c r="H316" s="2"/>
      <c r="I316" s="2"/>
    </row>
    <row r="317" spans="8:9" x14ac:dyDescent="0.2">
      <c r="H317" s="2"/>
      <c r="I317" s="2"/>
    </row>
    <row r="318" spans="8:9" x14ac:dyDescent="0.2">
      <c r="H318" s="2"/>
      <c r="I318" s="2"/>
    </row>
    <row r="319" spans="8:9" x14ac:dyDescent="0.2">
      <c r="H319" s="2"/>
      <c r="I319" s="2"/>
    </row>
    <row r="322" spans="8:9" x14ac:dyDescent="0.2">
      <c r="H322" s="2"/>
      <c r="I322" s="2"/>
    </row>
    <row r="323" spans="8:9" x14ac:dyDescent="0.2">
      <c r="H323" s="2"/>
      <c r="I323" s="2"/>
    </row>
    <row r="324" spans="8:9" x14ac:dyDescent="0.2">
      <c r="H324" s="2"/>
      <c r="I324" s="2"/>
    </row>
    <row r="325" spans="8:9" x14ac:dyDescent="0.2">
      <c r="H325" s="2"/>
      <c r="I325" s="2"/>
    </row>
    <row r="326" spans="8:9" x14ac:dyDescent="0.2">
      <c r="H326" s="2"/>
      <c r="I326" s="2"/>
    </row>
    <row r="327" spans="8:9" x14ac:dyDescent="0.2">
      <c r="H327" s="2"/>
      <c r="I327" s="2"/>
    </row>
    <row r="328" spans="8:9" x14ac:dyDescent="0.2">
      <c r="H328" s="2"/>
      <c r="I328" s="2"/>
    </row>
    <row r="329" spans="8:9" x14ac:dyDescent="0.2">
      <c r="H329" s="2"/>
      <c r="I329" s="2"/>
    </row>
    <row r="330" spans="8:9" x14ac:dyDescent="0.2">
      <c r="H330" s="2"/>
      <c r="I330" s="2"/>
    </row>
    <row r="331" spans="8:9" x14ac:dyDescent="0.2">
      <c r="H331" s="2"/>
      <c r="I331" s="2"/>
    </row>
    <row r="332" spans="8:9" x14ac:dyDescent="0.2">
      <c r="H332" s="2"/>
      <c r="I332" s="2"/>
    </row>
    <row r="333" spans="8:9" x14ac:dyDescent="0.2">
      <c r="H333" s="2"/>
      <c r="I333" s="2"/>
    </row>
    <row r="334" spans="8:9" x14ac:dyDescent="0.2">
      <c r="H334" s="2"/>
      <c r="I334" s="2"/>
    </row>
    <row r="335" spans="8:9" x14ac:dyDescent="0.2">
      <c r="H335" s="2"/>
      <c r="I335" s="2"/>
    </row>
    <row r="336" spans="8:9" x14ac:dyDescent="0.2">
      <c r="H336" s="2"/>
      <c r="I336" s="2"/>
    </row>
    <row r="337" spans="8:9" x14ac:dyDescent="0.2">
      <c r="H337" s="2"/>
      <c r="I337" s="2"/>
    </row>
    <row r="338" spans="8:9" x14ac:dyDescent="0.2">
      <c r="H338" s="2"/>
      <c r="I338" s="2"/>
    </row>
    <row r="339" spans="8:9" x14ac:dyDescent="0.2">
      <c r="H339" s="2"/>
      <c r="I339" s="2"/>
    </row>
    <row r="342" spans="8:9" x14ac:dyDescent="0.2">
      <c r="H342" s="2"/>
      <c r="I342" s="2"/>
    </row>
    <row r="343" spans="8:9" x14ac:dyDescent="0.2">
      <c r="H343" s="2"/>
      <c r="I343" s="2"/>
    </row>
    <row r="344" spans="8:9" x14ac:dyDescent="0.2">
      <c r="H344" s="2"/>
      <c r="I344" s="2"/>
    </row>
    <row r="345" spans="8:9" x14ac:dyDescent="0.2">
      <c r="H345" s="2"/>
      <c r="I345" s="2"/>
    </row>
    <row r="346" spans="8:9" x14ac:dyDescent="0.2">
      <c r="H346" s="2"/>
      <c r="I346" s="2"/>
    </row>
    <row r="347" spans="8:9" x14ac:dyDescent="0.2">
      <c r="H347" s="2"/>
      <c r="I347" s="2"/>
    </row>
    <row r="348" spans="8:9" x14ac:dyDescent="0.2">
      <c r="H348" s="2"/>
      <c r="I348" s="2"/>
    </row>
    <row r="349" spans="8:9" x14ac:dyDescent="0.2">
      <c r="H349" s="2"/>
      <c r="I349" s="2"/>
    </row>
    <row r="350" spans="8:9" x14ac:dyDescent="0.2">
      <c r="H350" s="2"/>
      <c r="I350" s="2"/>
    </row>
    <row r="351" spans="8:9" x14ac:dyDescent="0.2">
      <c r="H351" s="2"/>
      <c r="I351" s="2"/>
    </row>
    <row r="352" spans="8:9" x14ac:dyDescent="0.2">
      <c r="H352" s="2"/>
      <c r="I352" s="2"/>
    </row>
    <row r="353" spans="8:9" x14ac:dyDescent="0.2">
      <c r="H353" s="2"/>
      <c r="I353" s="2"/>
    </row>
    <row r="354" spans="8:9" x14ac:dyDescent="0.2">
      <c r="H354" s="2"/>
      <c r="I354" s="2"/>
    </row>
    <row r="355" spans="8:9" x14ac:dyDescent="0.2">
      <c r="H355" s="2"/>
      <c r="I355" s="2"/>
    </row>
    <row r="356" spans="8:9" x14ac:dyDescent="0.2">
      <c r="H356" s="2"/>
      <c r="I356" s="2"/>
    </row>
    <row r="357" spans="8:9" x14ac:dyDescent="0.2">
      <c r="H357" s="2"/>
      <c r="I357" s="2"/>
    </row>
    <row r="358" spans="8:9" x14ac:dyDescent="0.2">
      <c r="H358" s="2"/>
      <c r="I358" s="2"/>
    </row>
    <row r="359" spans="8:9" x14ac:dyDescent="0.2">
      <c r="H359" s="2"/>
      <c r="I359" s="2"/>
    </row>
    <row r="362" spans="8:9" x14ac:dyDescent="0.2">
      <c r="H362" s="2"/>
      <c r="I362" s="2"/>
    </row>
    <row r="363" spans="8:9" x14ac:dyDescent="0.2">
      <c r="H363" s="2"/>
      <c r="I363" s="2"/>
    </row>
    <row r="364" spans="8:9" x14ac:dyDescent="0.2">
      <c r="H364" s="2"/>
      <c r="I364" s="2"/>
    </row>
    <row r="365" spans="8:9" x14ac:dyDescent="0.2">
      <c r="H365" s="2"/>
      <c r="I365" s="2"/>
    </row>
    <row r="366" spans="8:9" x14ac:dyDescent="0.2">
      <c r="H366" s="2"/>
      <c r="I366" s="2"/>
    </row>
    <row r="367" spans="8:9" x14ac:dyDescent="0.2">
      <c r="H367" s="2"/>
      <c r="I367" s="2"/>
    </row>
    <row r="368" spans="8:9" x14ac:dyDescent="0.2">
      <c r="H368" s="2"/>
      <c r="I368" s="2"/>
    </row>
    <row r="369" spans="8:9" x14ac:dyDescent="0.2">
      <c r="H369" s="2"/>
      <c r="I369" s="2"/>
    </row>
    <row r="370" spans="8:9" x14ac:dyDescent="0.2">
      <c r="H370" s="2"/>
      <c r="I370" s="2"/>
    </row>
    <row r="371" spans="8:9" x14ac:dyDescent="0.2">
      <c r="H371" s="2"/>
      <c r="I371" s="2"/>
    </row>
    <row r="372" spans="8:9" x14ac:dyDescent="0.2">
      <c r="H372" s="2"/>
      <c r="I372" s="2"/>
    </row>
    <row r="373" spans="8:9" x14ac:dyDescent="0.2">
      <c r="H373" s="2"/>
      <c r="I373" s="2"/>
    </row>
    <row r="374" spans="8:9" x14ac:dyDescent="0.2">
      <c r="H374" s="2"/>
      <c r="I374" s="2"/>
    </row>
    <row r="375" spans="8:9" x14ac:dyDescent="0.2">
      <c r="H375" s="2"/>
      <c r="I375" s="2"/>
    </row>
    <row r="376" spans="8:9" x14ac:dyDescent="0.2">
      <c r="H376" s="2"/>
      <c r="I376" s="2"/>
    </row>
    <row r="377" spans="8:9" x14ac:dyDescent="0.2">
      <c r="H377" s="2"/>
      <c r="I377" s="2"/>
    </row>
    <row r="378" spans="8:9" x14ac:dyDescent="0.2">
      <c r="H378" s="2"/>
      <c r="I378" s="2"/>
    </row>
    <row r="379" spans="8:9" x14ac:dyDescent="0.2">
      <c r="H379" s="2"/>
      <c r="I379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90" zoomScaleNormal="90" workbookViewId="0">
      <selection activeCell="B13" sqref="B13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5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0.65700000000000003</v>
      </c>
      <c r="S2" s="34">
        <f>IF($Q2="","",HLOOKUP($Q2,'Elab-Modi'!$C$5:$AF$38,33,FALSE)/100)</f>
        <v>0</v>
      </c>
      <c r="T2" s="34">
        <f>IF($Q2="","",HLOOKUP($Q2,'Elab-Modi'!$C$5:$AF$38,34,FALSE)/100)</f>
        <v>0.8173999999999999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0.55400000000000005</v>
      </c>
      <c r="S3" s="34">
        <f>IF($Q3="","",HLOOKUP($Q3,'Elab-Modi'!$C$5:$AF$38,33,FALSE)/100)</f>
        <v>0.83645999999999998</v>
      </c>
      <c r="T3" s="34">
        <f>IF($Q3="","",HLOOKUP($Q3,'Elab-Modi'!$C$5:$AF$38,34,FALSE)/100)</f>
        <v>1.0000000000000001E-5</v>
      </c>
    </row>
    <row r="4" spans="1:20" x14ac:dyDescent="0.2">
      <c r="A4" s="6" t="s">
        <v>23</v>
      </c>
      <c r="B4" s="30">
        <v>12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0.504</v>
      </c>
      <c r="S4" s="34">
        <f>IF($Q4="","",HLOOKUP($Q4,'Elab-Modi'!$C$5:$AF$38,33,FALSE)/100)</f>
        <v>3.1199999999999999E-3</v>
      </c>
      <c r="T4" s="34">
        <f>IF($Q4="","",HLOOKUP($Q4,'Elab-Modi'!$C$5:$AF$38,34,FALSE)/100)</f>
        <v>6.2E-4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0.22700000000000001</v>
      </c>
      <c r="S5" s="34">
        <f>IF($Q5="","",HLOOKUP($Q5,'Elab-Modi'!$C$5:$AF$38,33,FALSE)/100)</f>
        <v>0</v>
      </c>
      <c r="T5" s="34">
        <f>IF($Q5="","",HLOOKUP($Q5,'Elab-Modi'!$C$5:$AF$38,34,FALSE)/100)</f>
        <v>0.11588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0.19600000000000001</v>
      </c>
      <c r="S6" s="34">
        <f>IF($Q6="","",HLOOKUP($Q6,'Elab-Modi'!$C$5:$AF$38,33,FALSE)/100)</f>
        <v>0.10407999999999999</v>
      </c>
      <c r="T6" s="34">
        <f>IF($Q6="","",HLOOKUP($Q6,'Elab-Modi'!$C$5:$AF$38,34,FALSE)/100)</f>
        <v>0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>
        <f t="shared" si="1"/>
        <v>9</v>
      </c>
      <c r="K7" s="1">
        <f t="shared" si="1"/>
        <v>10</v>
      </c>
      <c r="L7" s="1">
        <f t="shared" si="1"/>
        <v>11</v>
      </c>
      <c r="M7" s="1">
        <f t="shared" si="1"/>
        <v>12</v>
      </c>
      <c r="N7" s="6" t="str">
        <f>""</f>
        <v/>
      </c>
      <c r="Q7" s="6">
        <f t="shared" si="0"/>
        <v>6</v>
      </c>
      <c r="R7" s="24">
        <f>IF(Q7="","",HLOOKUP(Q7,'Elab-Modi'!$C$5:$AF$36,32))</f>
        <v>0.17499999999999999</v>
      </c>
      <c r="S7" s="34">
        <f>IF($Q7="","",HLOOKUP($Q7,'Elab-Modi'!$C$5:$AF$38,33,FALSE)/100)</f>
        <v>1.1899999999999999E-3</v>
      </c>
      <c r="T7" s="34">
        <f>IF($Q7="","",HLOOKUP($Q7,'Elab-Modi'!$C$5:$AF$38,34,FALSE)/100)</f>
        <v>0</v>
      </c>
    </row>
    <row r="8" spans="1:20" x14ac:dyDescent="0.2">
      <c r="A8" s="1" t="s">
        <v>7</v>
      </c>
      <c r="B8" s="31">
        <v>0</v>
      </c>
      <c r="C8" s="31">
        <v>0</v>
      </c>
      <c r="D8" s="31">
        <v>3.3</v>
      </c>
      <c r="E8" s="31">
        <v>3.3</v>
      </c>
      <c r="F8" s="31">
        <v>6.9</v>
      </c>
      <c r="G8" s="31">
        <v>6.9</v>
      </c>
      <c r="H8" s="31">
        <v>22.2</v>
      </c>
      <c r="I8" s="31">
        <v>22.2</v>
      </c>
      <c r="J8" s="31">
        <v>25.8</v>
      </c>
      <c r="K8" s="31">
        <v>25.8</v>
      </c>
      <c r="L8" s="31">
        <v>3.3</v>
      </c>
      <c r="M8" s="31">
        <v>3.3</v>
      </c>
      <c r="Q8" s="6">
        <f t="shared" si="0"/>
        <v>7</v>
      </c>
      <c r="R8" s="24">
        <f>IF(Q8="","",HLOOKUP(Q8,'Elab-Modi'!$C$5:$AF$36,32))</f>
        <v>0.122</v>
      </c>
      <c r="S8" s="34">
        <f>IF($Q8="","",HLOOKUP($Q8,'Elab-Modi'!$C$5:$AF$38,33,FALSE)/100)</f>
        <v>0</v>
      </c>
      <c r="T8" s="34">
        <f>IF($Q8="","",HLOOKUP($Q8,'Elab-Modi'!$C$5:$AF$38,34,FALSE)/100)</f>
        <v>4.2300000000000004E-2</v>
      </c>
    </row>
    <row r="9" spans="1:20" x14ac:dyDescent="0.2">
      <c r="A9" s="1" t="s">
        <v>8</v>
      </c>
      <c r="B9" s="31">
        <v>5.4</v>
      </c>
      <c r="C9" s="31">
        <v>10.8</v>
      </c>
      <c r="D9" s="31">
        <v>10.8</v>
      </c>
      <c r="E9" s="31">
        <v>12.6</v>
      </c>
      <c r="F9" s="31">
        <v>12.6</v>
      </c>
      <c r="G9" s="31">
        <v>10.8</v>
      </c>
      <c r="H9" s="31">
        <v>10.8</v>
      </c>
      <c r="I9" s="31">
        <v>12.6</v>
      </c>
      <c r="J9" s="31">
        <v>12.6</v>
      </c>
      <c r="K9" s="31">
        <v>0</v>
      </c>
      <c r="L9" s="31">
        <v>0</v>
      </c>
      <c r="M9" s="31">
        <v>5.4</v>
      </c>
      <c r="Q9" s="6">
        <f t="shared" si="0"/>
        <v>8</v>
      </c>
      <c r="R9" s="24">
        <f>IF(Q9="","",HLOOKUP(Q9,'Elab-Modi'!$C$5:$AF$36,32))</f>
        <v>0.11</v>
      </c>
      <c r="S9" s="34">
        <f>IF($Q9="","",HLOOKUP($Q9,'Elab-Modi'!$C$5:$AF$38,33,FALSE)/100)</f>
        <v>3.542E-2</v>
      </c>
      <c r="T9" s="34">
        <f>IF($Q9="","",HLOOKUP($Q9,'Elab-Modi'!$C$5:$AF$38,34,FALSE)/100)</f>
        <v>0</v>
      </c>
    </row>
    <row r="10" spans="1:20" x14ac:dyDescent="0.2">
      <c r="Q10" s="6">
        <f t="shared" si="0"/>
        <v>9</v>
      </c>
      <c r="R10" s="24">
        <f>IF(Q10="","",HLOOKUP(Q10,'Elab-Modi'!$C$5:$AF$36,32))</f>
        <v>9.4E-2</v>
      </c>
      <c r="S10" s="34">
        <f>IF($Q10="","",HLOOKUP($Q10,'Elab-Modi'!$C$5:$AF$38,33,FALSE)/100)</f>
        <v>4.6000000000000001E-4</v>
      </c>
      <c r="T10" s="34">
        <f>IF($Q10="","",HLOOKUP($Q10,'Elab-Modi'!$C$5:$AF$38,34,FALSE)/100)</f>
        <v>2.0000000000000002E-5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7.8E-2</v>
      </c>
      <c r="S11" s="34">
        <f>IF($Q11="","",HLOOKUP($Q11,'Elab-Modi'!$C$5:$AF$38,33,FALSE)/100)</f>
        <v>0</v>
      </c>
      <c r="T11" s="34">
        <f>IF($Q11="","",HLOOKUP($Q11,'Elab-Modi'!$C$5:$AF$38,34,FALSE)/100)</f>
        <v>1.7610000000000001E-2</v>
      </c>
    </row>
    <row r="12" spans="1:20" x14ac:dyDescent="0.2">
      <c r="A12" s="6" t="s">
        <v>3</v>
      </c>
      <c r="B12" s="30">
        <v>5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</v>
      </c>
      <c r="S12" s="34">
        <f>IF($Q12="","",HLOOKUP($Q12,'Elab-Modi'!$C$5:$AF$38,33,FALSE)/100)</f>
        <v>0</v>
      </c>
      <c r="T12" s="34">
        <f>IF($Q12="","",HLOOKUP($Q12,'Elab-Modi'!$C$5:$AF$38,34,FALSE)/100)</f>
        <v>0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0</v>
      </c>
      <c r="S13" s="34">
        <f>IF($Q13="","",HLOOKUP($Q13,'Elab-Modi'!$C$5:$AF$38,33,FALSE)/100)</f>
        <v>0</v>
      </c>
      <c r="T13" s="34">
        <f>IF($Q13="","",HLOOKUP($Q13,'Elab-Modi'!$C$5:$AF$38,34,FALSE)/100)</f>
        <v>0</v>
      </c>
    </row>
    <row r="14" spans="1:20" x14ac:dyDescent="0.2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0" x14ac:dyDescent="0.2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 x14ac:dyDescent="0.2">
      <c r="A16" s="6" t="s">
        <v>5</v>
      </c>
      <c r="B16" s="25">
        <f>VLOOKUP(B12,Q2:T31,2)</f>
        <v>0.19600000000000001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 x14ac:dyDescent="0.2">
      <c r="A17" s="6"/>
      <c r="B17" s="26"/>
      <c r="C17" s="6"/>
      <c r="Q17" s="6" t="str">
        <f t="shared" si="0"/>
        <v/>
      </c>
      <c r="R17" s="24" t="str">
        <f>IF(Q17="","",HLOOKUP(Q17,'Elab-Modi'!$C$5:$AF$36,32))</f>
        <v/>
      </c>
      <c r="S17" s="34" t="str">
        <f>IF($Q17="","",HLOOKUP($Q17,'Elab-Modi'!$C$5:$AF$38,33,FALSE)/100)</f>
        <v/>
      </c>
      <c r="T17" s="34" t="str">
        <f>IF($Q17="","",HLOOKUP($Q17,'Elab-Modi'!$C$5:$AF$38,34,FALSE)/100)</f>
        <v/>
      </c>
    </row>
    <row r="18" spans="1:20" x14ac:dyDescent="0.2">
      <c r="A18" s="6" t="s">
        <v>19</v>
      </c>
      <c r="B18" s="27">
        <f>VLOOKUP(B12,Q2:T31,3)</f>
        <v>0.10407999999999999</v>
      </c>
      <c r="C18" s="23"/>
      <c r="Q18" s="6" t="str">
        <f t="shared" si="0"/>
        <v/>
      </c>
      <c r="R18" s="24" t="str">
        <f>IF(Q18="","",HLOOKUP(Q18,'Elab-Modi'!$C$5:$AF$36,32))</f>
        <v/>
      </c>
      <c r="S18" s="34" t="str">
        <f>IF($Q18="","",HLOOKUP($Q18,'Elab-Modi'!$C$5:$AF$38,33,FALSE)/100)</f>
        <v/>
      </c>
      <c r="T18" s="34" t="str">
        <f>IF($Q18="","",HLOOKUP($Q18,'Elab-Modi'!$C$5:$AF$38,34,FALSE)/100)</f>
        <v/>
      </c>
    </row>
    <row r="19" spans="1:20" x14ac:dyDescent="0.2">
      <c r="A19" s="6" t="s">
        <v>20</v>
      </c>
      <c r="B19" s="27">
        <f>VLOOKUP(B12,Q2:T31,4)</f>
        <v>0</v>
      </c>
      <c r="C19" s="23"/>
      <c r="Q19" s="6" t="str">
        <f t="shared" si="0"/>
        <v/>
      </c>
      <c r="R19" s="24" t="str">
        <f>IF(Q19="","",HLOOKUP(Q19,'Elab-Modi'!$C$5:$AF$36,32))</f>
        <v/>
      </c>
      <c r="S19" s="34" t="str">
        <f>IF($Q19="","",HLOOKUP($Q19,'Elab-Modi'!$C$5:$AF$38,33,FALSE)/100)</f>
        <v/>
      </c>
      <c r="T19" s="34" t="str">
        <f>IF($Q19="","",HLOOKUP($Q19,'Elab-Modi'!$C$5:$AF$38,34,FALSE)/100)</f>
        <v/>
      </c>
    </row>
    <row r="20" spans="1:20" x14ac:dyDescent="0.2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5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5</v>
      </c>
      <c r="B6" s="4" t="s">
        <v>0</v>
      </c>
      <c r="C6" s="32">
        <f>IF(ABS(D$44)&gt;ABS(E$44),D44,E44)</f>
        <v>-0.3644</v>
      </c>
      <c r="D6" s="32">
        <f>IF(ABS(F$44)&gt;ABS(G$44),F44,G44)</f>
        <v>16.969000000000001</v>
      </c>
      <c r="E6" s="32">
        <f>IF(ABS(H$44)&gt;ABS(I$44),H44,I44)</f>
        <v>-0.51060000000000005</v>
      </c>
      <c r="F6" s="32">
        <f>IF(ABS(J$44)&gt;ABS(K$44),J44,K44)</f>
        <v>2.9757E-3</v>
      </c>
      <c r="G6" s="32">
        <f>IF(ABS(L$44)&gt;ABS(M$44),L44,M44)</f>
        <v>-0.88600000000000001</v>
      </c>
      <c r="H6" s="32">
        <f>IF(ABS(N$44)&gt;ABS(O$44),N44,O44)</f>
        <v>3.7537000000000001E-2</v>
      </c>
      <c r="I6" s="32">
        <f>IF(ABS(P$44)&gt;ABS(Q$44),P44,Q44)</f>
        <v>2.2246000000000002E-3</v>
      </c>
      <c r="J6" s="32">
        <f>IF(ABS(R$44)&gt;ABS(S$44),R44,S44)</f>
        <v>0.13852</v>
      </c>
      <c r="K6" s="32">
        <f>IF(ABS(T$44)&gt;ABS(U$44),T44,U44)</f>
        <v>-5.79E-3</v>
      </c>
      <c r="L6" s="32">
        <f>IF(ABS(V$44)&gt;ABS(W$44),V44,W44)</f>
        <v>-6.8820000000000003E-4</v>
      </c>
      <c r="M6" s="32">
        <f>IF(ABS(X$44)&gt;ABS(Y$44),X44,Y44)</f>
        <v>0</v>
      </c>
      <c r="N6" s="32">
        <f>IF(ABS(Z$44)&gt;ABS(AA$44),Z44,AA44)</f>
        <v>0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20.555</v>
      </c>
      <c r="D7" s="32">
        <f>IF(ABS(F$44)&gt;ABS(G$44),F45,G45)</f>
        <v>-1.7190000000000001</v>
      </c>
      <c r="E7" s="32">
        <f>IF(ABS(H$44)&gt;ABS(I$44),H45,I45)</f>
        <v>1.4907999999999999</v>
      </c>
      <c r="F7" s="32">
        <f>IF(ABS(J$44)&gt;ABS(K$44),J45,K45)</f>
        <v>-1.169</v>
      </c>
      <c r="G7" s="32">
        <f>IF(ABS(L$44)&gt;ABS(M$44),L45,M45)</f>
        <v>0.17027999999999999</v>
      </c>
      <c r="H7" s="32">
        <f>IF(ABS(N$44)&gt;ABS(O$44),N45,O45)</f>
        <v>-0.1139</v>
      </c>
      <c r="I7" s="32">
        <f>IF(ABS(P$44)&gt;ABS(Q$44),P45,Q45)</f>
        <v>0.15304000000000001</v>
      </c>
      <c r="J7" s="32">
        <f>IF(ABS(R$44)&gt;ABS(S$44),R45,S45)</f>
        <v>-3.1260000000000003E-2</v>
      </c>
      <c r="K7" s="32">
        <f>IF(ABS(T$44)&gt;ABS(U$44),T45,U45)</f>
        <v>1.7670000000000002E-2</v>
      </c>
      <c r="L7" s="32">
        <f>IF(ABS(V$44)&gt;ABS(W$44),V45,W45)</f>
        <v>-2.3630000000000002E-2</v>
      </c>
      <c r="M7" s="32">
        <f>IF(ABS(X$44)&gt;ABS(Y$44),X45,Y45)</f>
        <v>0</v>
      </c>
      <c r="N7" s="32">
        <f>IF(ABS(Z$44)&gt;ABS(AA$44),Z45,AA45)</f>
        <v>0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-6.5860000000000002E-2</v>
      </c>
      <c r="D8" s="33">
        <f>IF(ABS(F$44)&gt;ABS(G$44),F46,G46)</f>
        <v>0.12781999999999999</v>
      </c>
      <c r="E8" s="33">
        <f>IF(ABS(H$44)&gt;ABS(I$44),H46,I46)</f>
        <v>-0.10979999999999999</v>
      </c>
      <c r="F8" s="33">
        <f>IF(ABS(J$44)&gt;ABS(K$44),J46,K46)</f>
        <v>3.3116999999999999E-4</v>
      </c>
      <c r="G8" s="33">
        <f>IF(ABS(L$44)&gt;ABS(M$44),L46,M46)</f>
        <v>-1.248E-2</v>
      </c>
      <c r="H8" s="33">
        <f>IF(ABS(N$44)&gt;ABS(O$44),N46,O46)</f>
        <v>8.3132999999999992E-3</v>
      </c>
      <c r="I8" s="33">
        <f>IF(ABS(P$44)&gt;ABS(Q$44),P46,Q46)</f>
        <v>3.0561999999999999E-4</v>
      </c>
      <c r="J8" s="33">
        <f>IF(ABS(R$44)&gt;ABS(S$44),R46,S46)</f>
        <v>2.2279000000000001E-3</v>
      </c>
      <c r="K8" s="33">
        <f>IF(ABS(T$44)&gt;ABS(U$44),T46,U46)</f>
        <v>-1.2719999999999999E-3</v>
      </c>
      <c r="L8" s="33">
        <f>IF(ABS(V$44)&gt;ABS(W$44),V46,W46)</f>
        <v>-6.5809999999999995E-5</v>
      </c>
      <c r="M8" s="33">
        <f>IF(ABS(X$44)&gt;ABS(Y$44),X46,Y46)</f>
        <v>0</v>
      </c>
      <c r="N8" s="33">
        <f>IF(ABS(Z$44)&gt;ABS(AA$44),Z46,AA46)</f>
        <v>0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4</v>
      </c>
      <c r="B9" s="4" t="str">
        <f>IF(A47="","","Vx")</f>
        <v>Vx</v>
      </c>
      <c r="C9" s="32">
        <f t="shared" ref="C9:C35" si="2">IF(A47="","",IF(ABS(D$44)&gt;ABS(E$44),D47,E47))</f>
        <v>-0.28010000000000002</v>
      </c>
      <c r="D9" s="32">
        <f t="shared" ref="D9:D35" si="3">IF(D47="","",IF(ABS(F$44)&gt;ABS(G$44),F47,G47))</f>
        <v>14.539</v>
      </c>
      <c r="E9" s="32">
        <f t="shared" ref="E9:E35" si="4">IF(F47="","",IF(ABS(H$44)&gt;ABS(I$44),H47,I47))</f>
        <v>-0.42870000000000003</v>
      </c>
      <c r="F9" s="32">
        <f t="shared" ref="F9:F35" si="5">IF(H47="","",IF(ABS(J$44)&gt;ABS(K$44),J47,K47))</f>
        <v>-3.0070000000000001E-3</v>
      </c>
      <c r="G9" s="32">
        <f t="shared" ref="G9:G35" si="6">IF(J47="","",IF(ABS(L$44)&gt;ABS(M$44),L47,M47))</f>
        <v>-7.8520000000000006E-2</v>
      </c>
      <c r="H9" s="32">
        <f t="shared" ref="H9:H35" si="7">IF(L47="","",IF(ABS(N$44)&gt;ABS(O$44),N47,O47))</f>
        <v>2.0211999999999999E-3</v>
      </c>
      <c r="I9" s="32">
        <f t="shared" ref="I9:I35" si="8">IF(N47="","",IF(ABS(P$44)&gt;ABS(Q$44),P47,Q47))</f>
        <v>-2.6970000000000002E-3</v>
      </c>
      <c r="J9" s="32">
        <f t="shared" ref="J9:J35" si="9">IF(P47="","",IF(ABS(R$44)&gt;ABS(S$44),R47,S47))</f>
        <v>-0.1573</v>
      </c>
      <c r="K9" s="32">
        <f t="shared" ref="K9:K35" si="10">IF(R47="","",IF(ABS(T$44)&gt;ABS(U$44),T47,U47))</f>
        <v>6.5161999999999998E-3</v>
      </c>
      <c r="L9" s="32">
        <f t="shared" ref="L9:L35" si="11">IF(T47="","",IF(ABS(V$44)&gt;ABS(W$44),V47,W47))</f>
        <v>1.8058E-3</v>
      </c>
      <c r="M9" s="32">
        <f t="shared" ref="M9:M35" si="12">IF(V47="","",IF(ABS(X$44)&gt;ABS(Y$44),X47,Y47))</f>
        <v>0</v>
      </c>
      <c r="N9" s="32">
        <f t="shared" ref="N9:N35" si="13">IF(X47="","",IF(ABS(Z$44)&gt;ABS(AA$44),Z47,AA47))</f>
        <v>0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17.177</v>
      </c>
      <c r="D10" s="32">
        <f t="shared" si="3"/>
        <v>-1.486</v>
      </c>
      <c r="E10" s="32">
        <f t="shared" si="4"/>
        <v>1.2451000000000001</v>
      </c>
      <c r="F10" s="32">
        <f t="shared" si="5"/>
        <v>-1.848E-2</v>
      </c>
      <c r="G10" s="32">
        <f t="shared" si="6"/>
        <v>3.1933999999999997E-2</v>
      </c>
      <c r="H10" s="32">
        <f t="shared" si="7"/>
        <v>-2.5990000000000002E-3</v>
      </c>
      <c r="I10" s="32">
        <f t="shared" si="8"/>
        <v>-0.19109999999999999</v>
      </c>
      <c r="J10" s="32">
        <f t="shared" si="9"/>
        <v>2.4049000000000001E-2</v>
      </c>
      <c r="K10" s="32">
        <f t="shared" si="10"/>
        <v>-2.1899999999999999E-2</v>
      </c>
      <c r="L10" s="32">
        <f t="shared" si="11"/>
        <v>6.1059000000000002E-2</v>
      </c>
      <c r="M10" s="32">
        <f t="shared" si="12"/>
        <v>0</v>
      </c>
      <c r="N10" s="32">
        <f t="shared" si="13"/>
        <v>0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-5.0500000000000003E-2</v>
      </c>
      <c r="D11" s="33">
        <f t="shared" si="3"/>
        <v>0.11069</v>
      </c>
      <c r="E11" s="33">
        <f t="shared" si="4"/>
        <v>-9.1950000000000004E-2</v>
      </c>
      <c r="F11" s="33">
        <f t="shared" si="5"/>
        <v>-6.0999999999999997E-4</v>
      </c>
      <c r="G11" s="33">
        <f t="shared" si="6"/>
        <v>-2.3509999999999998E-3</v>
      </c>
      <c r="H11" s="33">
        <f t="shared" si="7"/>
        <v>2.0687E-4</v>
      </c>
      <c r="I11" s="33">
        <f t="shared" si="8"/>
        <v>-4.0719999999999998E-4</v>
      </c>
      <c r="J11" s="33">
        <f t="shared" si="9"/>
        <v>-1.6949999999999999E-3</v>
      </c>
      <c r="K11" s="33">
        <f t="shared" si="10"/>
        <v>1.5801999999999999E-3</v>
      </c>
      <c r="L11" s="33">
        <f t="shared" si="11"/>
        <v>1.9602000000000001E-4</v>
      </c>
      <c r="M11" s="33">
        <f t="shared" si="12"/>
        <v>0</v>
      </c>
      <c r="N11" s="33">
        <f t="shared" si="13"/>
        <v>0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3</v>
      </c>
      <c r="B12" s="4" t="str">
        <f>IF(A50="","","Vx")</f>
        <v>Vx</v>
      </c>
      <c r="C12" s="32">
        <f t="shared" si="2"/>
        <v>-0.19139999999999999</v>
      </c>
      <c r="D12" s="32">
        <f t="shared" si="3"/>
        <v>11.359</v>
      </c>
      <c r="E12" s="32">
        <f t="shared" si="4"/>
        <v>-0.32769999999999999</v>
      </c>
      <c r="F12" s="32">
        <f t="shared" si="5"/>
        <v>-6.1599999999999997E-3</v>
      </c>
      <c r="G12" s="32">
        <f t="shared" si="6"/>
        <v>0.54739000000000004</v>
      </c>
      <c r="H12" s="32">
        <f t="shared" si="7"/>
        <v>-2.3230000000000001E-2</v>
      </c>
      <c r="I12" s="32">
        <f t="shared" si="8"/>
        <v>-1.8270000000000001E-3</v>
      </c>
      <c r="J12" s="32">
        <f t="shared" si="9"/>
        <v>-0.10150000000000001</v>
      </c>
      <c r="K12" s="32">
        <f t="shared" si="10"/>
        <v>3.6248000000000001E-3</v>
      </c>
      <c r="L12" s="32">
        <f t="shared" si="11"/>
        <v>-1.573E-3</v>
      </c>
      <c r="M12" s="32">
        <f t="shared" si="12"/>
        <v>0</v>
      </c>
      <c r="N12" s="32">
        <f t="shared" si="13"/>
        <v>0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13.054</v>
      </c>
      <c r="D13" s="32">
        <f t="shared" si="3"/>
        <v>-1.169</v>
      </c>
      <c r="E13" s="32">
        <f t="shared" si="4"/>
        <v>0.94640999999999997</v>
      </c>
      <c r="F13" s="32">
        <f t="shared" si="5"/>
        <v>0.80391000000000001</v>
      </c>
      <c r="G13" s="32">
        <f t="shared" si="6"/>
        <v>-7.3410000000000003E-2</v>
      </c>
      <c r="H13" s="32">
        <f t="shared" si="7"/>
        <v>7.6327999999999993E-2</v>
      </c>
      <c r="I13" s="32">
        <f t="shared" si="8"/>
        <v>-0.109</v>
      </c>
      <c r="J13" s="32">
        <f t="shared" si="9"/>
        <v>1.6008000000000001E-2</v>
      </c>
      <c r="K13" s="32">
        <f t="shared" si="10"/>
        <v>-1.2279999999999999E-2</v>
      </c>
      <c r="L13" s="32">
        <f t="shared" si="11"/>
        <v>-5.1569999999999998E-2</v>
      </c>
      <c r="M13" s="32">
        <f t="shared" si="12"/>
        <v>0</v>
      </c>
      <c r="N13" s="32">
        <f t="shared" si="13"/>
        <v>0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-3.431E-2</v>
      </c>
      <c r="D14" s="33">
        <f t="shared" si="3"/>
        <v>8.7258000000000002E-2</v>
      </c>
      <c r="E14" s="33">
        <f t="shared" si="4"/>
        <v>-7.0139999999999994E-2</v>
      </c>
      <c r="F14" s="33">
        <f t="shared" si="5"/>
        <v>-1.075E-3</v>
      </c>
      <c r="G14" s="33">
        <f t="shared" si="6"/>
        <v>5.3736000000000001E-3</v>
      </c>
      <c r="H14" s="33">
        <f t="shared" si="7"/>
        <v>-5.5560000000000002E-3</v>
      </c>
      <c r="I14" s="33">
        <f t="shared" si="8"/>
        <v>-2.7769999999999997E-4</v>
      </c>
      <c r="J14" s="33">
        <f t="shared" si="9"/>
        <v>-1.134E-3</v>
      </c>
      <c r="K14" s="33">
        <f t="shared" si="10"/>
        <v>8.853E-4</v>
      </c>
      <c r="L14" s="33">
        <f t="shared" si="11"/>
        <v>-1.8090000000000001E-4</v>
      </c>
      <c r="M14" s="33">
        <f t="shared" si="12"/>
        <v>0</v>
      </c>
      <c r="N14" s="33">
        <f t="shared" si="13"/>
        <v>0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2</v>
      </c>
      <c r="B15" s="4" t="str">
        <f>IF(A53="","","Vx")</f>
        <v>Vx</v>
      </c>
      <c r="C15" s="32">
        <f t="shared" si="2"/>
        <v>-0.1081</v>
      </c>
      <c r="D15" s="32">
        <f t="shared" si="3"/>
        <v>7.835</v>
      </c>
      <c r="E15" s="32">
        <f t="shared" si="4"/>
        <v>-0.21840000000000001</v>
      </c>
      <c r="F15" s="32">
        <f t="shared" si="5"/>
        <v>-5.2820000000000002E-3</v>
      </c>
      <c r="G15" s="32">
        <f t="shared" si="6"/>
        <v>0.71753999999999996</v>
      </c>
      <c r="H15" s="32">
        <f t="shared" si="7"/>
        <v>-2.8629999999999999E-2</v>
      </c>
      <c r="I15" s="32">
        <f t="shared" si="8"/>
        <v>1.2554E-3</v>
      </c>
      <c r="J15" s="32">
        <f t="shared" si="9"/>
        <v>0.10088</v>
      </c>
      <c r="K15" s="32">
        <f t="shared" si="10"/>
        <v>-4.5739999999999999E-3</v>
      </c>
      <c r="L15" s="32">
        <f t="shared" si="11"/>
        <v>-5.7129999999999995E-4</v>
      </c>
      <c r="M15" s="32">
        <f t="shared" si="12"/>
        <v>0</v>
      </c>
      <c r="N15" s="32">
        <f t="shared" si="13"/>
        <v>0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8.6120000000000001</v>
      </c>
      <c r="D16" s="32">
        <f t="shared" si="3"/>
        <v>-0.8095</v>
      </c>
      <c r="E16" s="32">
        <f t="shared" si="4"/>
        <v>0.62663999999999997</v>
      </c>
      <c r="F16" s="32">
        <f t="shared" si="5"/>
        <v>0.97702</v>
      </c>
      <c r="G16" s="32">
        <f t="shared" si="6"/>
        <v>-0.1026</v>
      </c>
      <c r="H16" s="32">
        <f t="shared" si="7"/>
        <v>9.2896999999999993E-2</v>
      </c>
      <c r="I16" s="32">
        <f t="shared" si="8"/>
        <v>0.13499</v>
      </c>
      <c r="J16" s="32">
        <f t="shared" si="9"/>
        <v>-1.7100000000000001E-2</v>
      </c>
      <c r="K16" s="32">
        <f t="shared" si="10"/>
        <v>1.5192000000000001E-2</v>
      </c>
      <c r="L16" s="32">
        <f t="shared" si="11"/>
        <v>-1.7479999999999999E-2</v>
      </c>
      <c r="M16" s="32">
        <f t="shared" si="12"/>
        <v>0</v>
      </c>
      <c r="N16" s="32">
        <f t="shared" si="13"/>
        <v>0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-1.9099999999999999E-2</v>
      </c>
      <c r="D17" s="33">
        <f t="shared" si="3"/>
        <v>6.0629000000000002E-2</v>
      </c>
      <c r="E17" s="33">
        <f t="shared" si="4"/>
        <v>-4.6649999999999997E-2</v>
      </c>
      <c r="F17" s="33">
        <f t="shared" si="5"/>
        <v>-8.7900000000000001E-4</v>
      </c>
      <c r="G17" s="33">
        <f t="shared" si="6"/>
        <v>7.5300000000000002E-3</v>
      </c>
      <c r="H17" s="33">
        <f t="shared" si="7"/>
        <v>-6.7840000000000001E-3</v>
      </c>
      <c r="I17" s="33">
        <f t="shared" si="8"/>
        <v>1.6886000000000001E-4</v>
      </c>
      <c r="J17" s="33">
        <f t="shared" si="9"/>
        <v>1.2006E-3</v>
      </c>
      <c r="K17" s="33">
        <f t="shared" si="10"/>
        <v>-1.093E-3</v>
      </c>
      <c r="L17" s="33">
        <f t="shared" si="11"/>
        <v>-6.122E-5</v>
      </c>
      <c r="M17" s="33">
        <f t="shared" si="12"/>
        <v>0</v>
      </c>
      <c r="N17" s="33">
        <f t="shared" si="13"/>
        <v>0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1</v>
      </c>
      <c r="B18" s="4" t="str">
        <f>IF(A56="","","Vx")</f>
        <v>Vx</v>
      </c>
      <c r="C18" s="32">
        <f t="shared" si="2"/>
        <v>-3.7039999999999997E-2</v>
      </c>
      <c r="D18" s="32">
        <f t="shared" si="3"/>
        <v>3.7904</v>
      </c>
      <c r="E18" s="32">
        <f t="shared" si="4"/>
        <v>-9.8890000000000006E-2</v>
      </c>
      <c r="F18" s="32">
        <f t="shared" si="5"/>
        <v>-2.1320000000000002E-3</v>
      </c>
      <c r="G18" s="32">
        <f t="shared" si="6"/>
        <v>0.46722999999999998</v>
      </c>
      <c r="H18" s="32">
        <f t="shared" si="7"/>
        <v>-1.728E-2</v>
      </c>
      <c r="I18" s="32">
        <f t="shared" si="8"/>
        <v>2.2052999999999999E-3</v>
      </c>
      <c r="J18" s="32">
        <f t="shared" si="9"/>
        <v>0.15476000000000001</v>
      </c>
      <c r="K18" s="32">
        <f t="shared" si="10"/>
        <v>-6.0650000000000001E-3</v>
      </c>
      <c r="L18" s="32">
        <f t="shared" si="11"/>
        <v>1.7311E-3</v>
      </c>
      <c r="M18" s="32">
        <f t="shared" si="12"/>
        <v>0</v>
      </c>
      <c r="N18" s="32">
        <f t="shared" si="13"/>
        <v>0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3.8456999999999999</v>
      </c>
      <c r="D19" s="32">
        <f t="shared" si="3"/>
        <v>-0.38740000000000002</v>
      </c>
      <c r="E19" s="32">
        <f t="shared" si="4"/>
        <v>0.28210000000000002</v>
      </c>
      <c r="F19" s="32">
        <f t="shared" si="5"/>
        <v>0.58667000000000002</v>
      </c>
      <c r="G19" s="32">
        <f t="shared" si="6"/>
        <v>-6.633E-2</v>
      </c>
      <c r="H19" s="32">
        <f t="shared" si="7"/>
        <v>5.6149999999999999E-2</v>
      </c>
      <c r="I19" s="32">
        <f t="shared" si="8"/>
        <v>0.18060999999999999</v>
      </c>
      <c r="J19" s="32">
        <f t="shared" si="9"/>
        <v>-2.5170000000000001E-2</v>
      </c>
      <c r="K19" s="32">
        <f t="shared" si="10"/>
        <v>2.0423E-2</v>
      </c>
      <c r="L19" s="32">
        <f t="shared" si="11"/>
        <v>6.0470000000000003E-2</v>
      </c>
      <c r="M19" s="32">
        <f t="shared" si="12"/>
        <v>0</v>
      </c>
      <c r="N19" s="32">
        <f t="shared" si="13"/>
        <v>0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-6.3639999999999999E-3</v>
      </c>
      <c r="D20" s="33">
        <f t="shared" si="3"/>
        <v>2.9125000000000002E-2</v>
      </c>
      <c r="E20" s="33">
        <f t="shared" si="4"/>
        <v>-2.112E-2</v>
      </c>
      <c r="F20" s="33">
        <f t="shared" si="5"/>
        <v>-3.2949999999999999E-4</v>
      </c>
      <c r="G20" s="33">
        <f t="shared" si="6"/>
        <v>4.8812999999999999E-3</v>
      </c>
      <c r="H20" s="33">
        <f t="shared" si="7"/>
        <v>-4.1139999999999996E-3</v>
      </c>
      <c r="I20" s="33">
        <f t="shared" si="8"/>
        <v>3.0938999999999999E-4</v>
      </c>
      <c r="J20" s="33">
        <f t="shared" si="9"/>
        <v>1.7779E-3</v>
      </c>
      <c r="K20" s="33">
        <f t="shared" si="10"/>
        <v>-1.472E-3</v>
      </c>
      <c r="L20" s="33">
        <f t="shared" si="11"/>
        <v>1.9238999999999999E-4</v>
      </c>
      <c r="M20" s="33">
        <f t="shared" si="12"/>
        <v>0</v>
      </c>
      <c r="N20" s="33">
        <f t="shared" si="13"/>
        <v>0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 t="str">
        <f>IF(B59="","",B59)</f>
        <v/>
      </c>
      <c r="B21" s="4" t="str">
        <f>IF(A59="","","Vx")</f>
        <v/>
      </c>
      <c r="C21" s="32" t="str">
        <f t="shared" si="2"/>
        <v/>
      </c>
      <c r="D21" s="32" t="str">
        <f t="shared" si="3"/>
        <v/>
      </c>
      <c r="E21" s="32" t="str">
        <f t="shared" si="4"/>
        <v/>
      </c>
      <c r="F21" s="32" t="str">
        <f t="shared" si="5"/>
        <v/>
      </c>
      <c r="G21" s="32" t="str">
        <f t="shared" si="6"/>
        <v/>
      </c>
      <c r="H21" s="32" t="str">
        <f t="shared" si="7"/>
        <v/>
      </c>
      <c r="I21" s="32" t="str">
        <f t="shared" si="8"/>
        <v/>
      </c>
      <c r="J21" s="32" t="str">
        <f t="shared" si="9"/>
        <v/>
      </c>
      <c r="K21" s="32" t="str">
        <f t="shared" si="10"/>
        <v/>
      </c>
      <c r="L21" s="32" t="str">
        <f t="shared" si="11"/>
        <v/>
      </c>
      <c r="M21" s="32" t="str">
        <f t="shared" si="12"/>
        <v/>
      </c>
      <c r="N21" s="32" t="str">
        <f t="shared" si="13"/>
        <v/>
      </c>
      <c r="O21" s="32" t="str">
        <f t="shared" si="14"/>
        <v/>
      </c>
      <c r="P21" s="32" t="str">
        <f t="shared" si="15"/>
        <v/>
      </c>
      <c r="Q21" s="32" t="str">
        <f t="shared" si="16"/>
        <v/>
      </c>
      <c r="R21" s="32" t="str">
        <f t="shared" si="17"/>
        <v/>
      </c>
      <c r="S21" s="32" t="str">
        <f t="shared" si="18"/>
        <v/>
      </c>
      <c r="T21" s="32" t="str">
        <f t="shared" si="19"/>
        <v/>
      </c>
      <c r="U21" s="32" t="str">
        <f t="shared" si="20"/>
        <v/>
      </c>
      <c r="V21" s="32" t="str">
        <f t="shared" si="21"/>
        <v/>
      </c>
      <c r="W21" s="32" t="str">
        <f t="shared" si="22"/>
        <v/>
      </c>
      <c r="X21" s="32" t="str">
        <f t="shared" si="23"/>
        <v/>
      </c>
      <c r="Y21" s="32" t="str">
        <f t="shared" si="24"/>
        <v/>
      </c>
      <c r="Z21" s="32" t="str">
        <f t="shared" si="25"/>
        <v/>
      </c>
      <c r="AA21" s="32" t="str">
        <f t="shared" si="26"/>
        <v/>
      </c>
      <c r="AB21" s="32" t="str">
        <f t="shared" si="27"/>
        <v/>
      </c>
      <c r="AC21" s="32" t="str">
        <f t="shared" si="28"/>
        <v/>
      </c>
      <c r="AD21" s="32" t="str">
        <f t="shared" si="29"/>
        <v/>
      </c>
      <c r="AE21" s="32" t="str">
        <f t="shared" si="30"/>
        <v/>
      </c>
      <c r="AF21" s="32" t="str">
        <f t="shared" si="31"/>
        <v/>
      </c>
    </row>
    <row r="22" spans="1:32" x14ac:dyDescent="0.2">
      <c r="A22" s="4"/>
      <c r="B22" s="4" t="str">
        <f>IF(A60="","","Vy")</f>
        <v/>
      </c>
      <c r="C22" s="32" t="str">
        <f t="shared" si="2"/>
        <v/>
      </c>
      <c r="D22" s="32" t="str">
        <f t="shared" si="3"/>
        <v/>
      </c>
      <c r="E22" s="32" t="str">
        <f t="shared" si="4"/>
        <v/>
      </c>
      <c r="F22" s="32" t="str">
        <f t="shared" si="5"/>
        <v/>
      </c>
      <c r="G22" s="32" t="str">
        <f t="shared" si="6"/>
        <v/>
      </c>
      <c r="H22" s="32" t="str">
        <f t="shared" si="7"/>
        <v/>
      </c>
      <c r="I22" s="32" t="str">
        <f t="shared" si="8"/>
        <v/>
      </c>
      <c r="J22" s="32" t="str">
        <f t="shared" si="9"/>
        <v/>
      </c>
      <c r="K22" s="32" t="str">
        <f t="shared" si="10"/>
        <v/>
      </c>
      <c r="L22" s="32" t="str">
        <f t="shared" si="11"/>
        <v/>
      </c>
      <c r="M22" s="32" t="str">
        <f t="shared" si="12"/>
        <v/>
      </c>
      <c r="N22" s="32" t="str">
        <f t="shared" si="13"/>
        <v/>
      </c>
      <c r="O22" s="32" t="str">
        <f t="shared" si="14"/>
        <v/>
      </c>
      <c r="P22" s="32" t="str">
        <f t="shared" si="15"/>
        <v/>
      </c>
      <c r="Q22" s="32" t="str">
        <f t="shared" si="16"/>
        <v/>
      </c>
      <c r="R22" s="32" t="str">
        <f t="shared" si="17"/>
        <v/>
      </c>
      <c r="S22" s="32" t="str">
        <f t="shared" si="18"/>
        <v/>
      </c>
      <c r="T22" s="32" t="str">
        <f t="shared" si="19"/>
        <v/>
      </c>
      <c r="U22" s="32" t="str">
        <f t="shared" si="20"/>
        <v/>
      </c>
      <c r="V22" s="32" t="str">
        <f t="shared" si="21"/>
        <v/>
      </c>
      <c r="W22" s="32" t="str">
        <f t="shared" si="22"/>
        <v/>
      </c>
      <c r="X22" s="32" t="str">
        <f t="shared" si="23"/>
        <v/>
      </c>
      <c r="Y22" s="32" t="str">
        <f t="shared" si="24"/>
        <v/>
      </c>
      <c r="Z22" s="32" t="str">
        <f t="shared" si="25"/>
        <v/>
      </c>
      <c r="AA22" s="32" t="str">
        <f t="shared" si="26"/>
        <v/>
      </c>
      <c r="AB22" s="32" t="str">
        <f t="shared" si="27"/>
        <v/>
      </c>
      <c r="AC22" s="32" t="str">
        <f t="shared" si="28"/>
        <v/>
      </c>
      <c r="AD22" s="32" t="str">
        <f t="shared" si="29"/>
        <v/>
      </c>
      <c r="AE22" s="32" t="str">
        <f t="shared" si="30"/>
        <v/>
      </c>
      <c r="AF22" s="32" t="str">
        <f t="shared" si="31"/>
        <v/>
      </c>
    </row>
    <row r="23" spans="1:32" x14ac:dyDescent="0.2">
      <c r="A23" s="13"/>
      <c r="B23" s="13" t="str">
        <f>IF(A61="","","Rot")</f>
        <v/>
      </c>
      <c r="C23" s="33" t="str">
        <f t="shared" si="2"/>
        <v/>
      </c>
      <c r="D23" s="33" t="str">
        <f t="shared" si="3"/>
        <v/>
      </c>
      <c r="E23" s="33" t="str">
        <f t="shared" si="4"/>
        <v/>
      </c>
      <c r="F23" s="33" t="str">
        <f t="shared" si="5"/>
        <v/>
      </c>
      <c r="G23" s="33" t="str">
        <f t="shared" si="6"/>
        <v/>
      </c>
      <c r="H23" s="33" t="str">
        <f t="shared" si="7"/>
        <v/>
      </c>
      <c r="I23" s="33" t="str">
        <f t="shared" si="8"/>
        <v/>
      </c>
      <c r="J23" s="33" t="str">
        <f t="shared" si="9"/>
        <v/>
      </c>
      <c r="K23" s="33" t="str">
        <f t="shared" si="10"/>
        <v/>
      </c>
      <c r="L23" s="33" t="str">
        <f t="shared" si="11"/>
        <v/>
      </c>
      <c r="M23" s="33" t="str">
        <f t="shared" si="12"/>
        <v/>
      </c>
      <c r="N23" s="33" t="str">
        <f t="shared" si="13"/>
        <v/>
      </c>
      <c r="O23" s="33" t="str">
        <f t="shared" si="14"/>
        <v/>
      </c>
      <c r="P23" s="33" t="str">
        <f t="shared" si="15"/>
        <v/>
      </c>
      <c r="Q23" s="33" t="str">
        <f t="shared" si="16"/>
        <v/>
      </c>
      <c r="R23" s="33" t="str">
        <f t="shared" si="17"/>
        <v/>
      </c>
      <c r="S23" s="33" t="str">
        <f t="shared" si="18"/>
        <v/>
      </c>
      <c r="T23" s="33" t="str">
        <f t="shared" si="19"/>
        <v/>
      </c>
      <c r="U23" s="33" t="str">
        <f t="shared" si="20"/>
        <v/>
      </c>
      <c r="V23" s="33" t="str">
        <f t="shared" si="21"/>
        <v/>
      </c>
      <c r="W23" s="33" t="str">
        <f t="shared" si="22"/>
        <v/>
      </c>
      <c r="X23" s="33" t="str">
        <f t="shared" si="23"/>
        <v/>
      </c>
      <c r="Y23" s="33" t="str">
        <f t="shared" si="24"/>
        <v/>
      </c>
      <c r="Z23" s="33" t="str">
        <f t="shared" si="25"/>
        <v/>
      </c>
      <c r="AA23" s="33" t="str">
        <f t="shared" si="26"/>
        <v/>
      </c>
      <c r="AB23" s="33" t="str">
        <f t="shared" si="27"/>
        <v/>
      </c>
      <c r="AC23" s="33" t="str">
        <f t="shared" si="28"/>
        <v/>
      </c>
      <c r="AD23" s="33" t="str">
        <f t="shared" si="29"/>
        <v/>
      </c>
      <c r="AE23" s="33" t="str">
        <f t="shared" si="30"/>
        <v/>
      </c>
      <c r="AF23" s="33" t="str">
        <f t="shared" si="31"/>
        <v/>
      </c>
    </row>
    <row r="24" spans="1:32" x14ac:dyDescent="0.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0.65700000000000003</v>
      </c>
      <c r="D36" s="2">
        <f>INDEX(SPI!$B$1:$I$931,$A44+(3*$B$1+2)*D$5+1,2)</f>
        <v>0.55400000000000005</v>
      </c>
      <c r="E36" s="2">
        <f>INDEX(SPI!$B$1:$I$931,$A44+(3*$B$1+2)*E$5+1,2)</f>
        <v>0.504</v>
      </c>
      <c r="F36" s="2">
        <f>INDEX(SPI!$B$1:$I$931,$A44+(3*$B$1+2)*F$5+1,2)</f>
        <v>0.22700000000000001</v>
      </c>
      <c r="G36" s="2">
        <f>INDEX(SPI!$B$1:$I$931,$A44+(3*$B$1+2)*G$5+1,2)</f>
        <v>0.19600000000000001</v>
      </c>
      <c r="H36" s="2">
        <f>INDEX(SPI!$B$1:$I$931,$A44+(3*$B$1+2)*H$5+1,2)</f>
        <v>0.17499999999999999</v>
      </c>
      <c r="I36" s="2">
        <f>INDEX(SPI!$B$1:$I$931,$A44+(3*$B$1+2)*I$5+1,2)</f>
        <v>0.122</v>
      </c>
      <c r="J36" s="2">
        <f>INDEX(SPI!$B$1:$I$931,$A44+(3*$B$1+2)*J$5+1,2)</f>
        <v>0.11</v>
      </c>
      <c r="K36" s="2">
        <f>INDEX(SPI!$B$1:$I$931,$A44+(3*$B$1+2)*K$5+1,2)</f>
        <v>9.4E-2</v>
      </c>
      <c r="L36" s="2">
        <f>INDEX(SPI!$B$1:$I$931,$A44+(3*$B$1+2)*L$5+1,2)</f>
        <v>7.8E-2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91</v>
      </c>
      <c r="C37" s="2">
        <f>INDEX(SPI!$B$1:$I$931,$A44+(3*$B$1+2)*C5,7)</f>
        <v>0</v>
      </c>
      <c r="D37" s="2">
        <f>INDEX(SPI!$B$1:$I$931,$A44+(3*$B$1+2)*D5,7)</f>
        <v>83.646000000000001</v>
      </c>
      <c r="E37" s="2">
        <f>INDEX(SPI!$B$1:$I$931,$A44+(3*$B$1+2)*E5,7)</f>
        <v>0.312</v>
      </c>
      <c r="F37" s="2">
        <f>INDEX(SPI!$B$1:$I$931,$A44+(3*$B$1+2)*F5,7)</f>
        <v>0</v>
      </c>
      <c r="G37" s="2">
        <f>INDEX(SPI!$B$1:$I$931,$A44+(3*$B$1+2)*G5,7)</f>
        <v>10.407999999999999</v>
      </c>
      <c r="H37" s="2">
        <f>INDEX(SPI!$B$1:$I$931,$A44+(3*$B$1+2)*H5,7)</f>
        <v>0.11899999999999999</v>
      </c>
      <c r="I37" s="2">
        <f>INDEX(SPI!$B$1:$I$931,$A44+(3*$B$1+2)*I5,7)</f>
        <v>0</v>
      </c>
      <c r="J37" s="2">
        <f>INDEX(SPI!$B$1:$I$931,$A44+(3*$B$1+2)*J5,7)</f>
        <v>3.5419999999999998</v>
      </c>
      <c r="K37" s="2">
        <f>INDEX(SPI!$B$1:$I$931,$A44+(3*$B$1+2)*K5,7)</f>
        <v>4.5999999999999999E-2</v>
      </c>
      <c r="L37" s="2">
        <f>INDEX(SPI!$B$1:$I$931,$A44+(3*$B$1+2)*L5,7)</f>
        <v>0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92</v>
      </c>
      <c r="C38" s="2">
        <f>INDEX(SPI!$B$1:$I$931,$A44+(3*$B$1+2)*C5,8)</f>
        <v>81.739999999999995</v>
      </c>
      <c r="D38" s="2">
        <f>INDEX(SPI!$B$1:$I$931,$A44+(3*$B$1+2)*D5,8)</f>
        <v>1E-3</v>
      </c>
      <c r="E38" s="2">
        <f>INDEX(SPI!$B$1:$I$931,$A44+(3*$B$1+2)*E5,8)</f>
        <v>6.2E-2</v>
      </c>
      <c r="F38" s="2">
        <f>INDEX(SPI!$B$1:$I$931,$A44+(3*$B$1+2)*F5,8)</f>
        <v>11.587999999999999</v>
      </c>
      <c r="G38" s="2">
        <f>INDEX(SPI!$B$1:$I$931,$A44+(3*$B$1+2)*G5,8)</f>
        <v>0</v>
      </c>
      <c r="H38" s="2">
        <f>INDEX(SPI!$B$1:$I$931,$A44+(3*$B$1+2)*H5,8)</f>
        <v>0</v>
      </c>
      <c r="I38" s="2">
        <f>INDEX(SPI!$B$1:$I$931,$A44+(3*$B$1+2)*I5,8)</f>
        <v>4.2300000000000004</v>
      </c>
      <c r="J38" s="2">
        <f>INDEX(SPI!$B$1:$I$931,$A44+(3*$B$1+2)*J5,8)</f>
        <v>0</v>
      </c>
      <c r="K38" s="2">
        <f>INDEX(SPI!$B$1:$I$931,$A44+(3*$B$1+2)*K5,8)</f>
        <v>2E-3</v>
      </c>
      <c r="L38" s="2">
        <f>INDEX(SPI!$B$1:$I$931,$A44+(3*$B$1+2)*L5,8)</f>
        <v>1.7609999999999999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3.7713999999999998E-4</v>
      </c>
      <c r="E44" s="14">
        <f>INDEX(SPI!$B$1:$I$931,$A44+(3*$B$1+2)*D$43+1,8)</f>
        <v>-0.3644</v>
      </c>
      <c r="F44" s="14">
        <f>INDEX(SPI!$B$1:$I$931,$A44+(3*$B$1+2)*F$43+1,7)</f>
        <v>16.969000000000001</v>
      </c>
      <c r="G44" s="14">
        <f>INDEX(SPI!$B$1:$I$931,$A44+(3*$B$1+2)*F$43+1,8)</f>
        <v>4.6427000000000003E-2</v>
      </c>
      <c r="H44" s="14">
        <f>INDEX(SPI!$B$1:$I$931,$A44+(3*$B$1+2)*H$43+1,7)</f>
        <v>-0.51060000000000005</v>
      </c>
      <c r="I44" s="14">
        <f>INDEX(SPI!$B$1:$I$931,$A44+(3*$B$1+2)*H$43+1,8)</f>
        <v>0.22827</v>
      </c>
      <c r="J44" s="14">
        <f>INDEX(SPI!$B$1:$I$931,$A44+(3*$B$1+2)*J$43+1,7)</f>
        <v>-2.159E-6</v>
      </c>
      <c r="K44" s="14">
        <f>INDEX(SPI!$B$1:$I$931,$A44+(3*$B$1+2)*J$43+1,8)</f>
        <v>2.9757E-3</v>
      </c>
      <c r="L44" s="14">
        <f>INDEX(SPI!$B$1:$I$931,$A44+(3*$B$1+2)*L$43+1,7)</f>
        <v>-0.88600000000000001</v>
      </c>
      <c r="M44" s="14">
        <f>INDEX(SPI!$B$1:$I$931,$A44+(3*$B$1+2)*L$43+1,8)</f>
        <v>-3.6499999999999998E-4</v>
      </c>
      <c r="N44" s="14">
        <f>INDEX(SPI!$B$1:$I$931,$A44+(3*$B$1+2)*N$43+1,7)</f>
        <v>3.7537000000000001E-2</v>
      </c>
      <c r="O44" s="14">
        <f>INDEX(SPI!$B$1:$I$931,$A44+(3*$B$1+2)*N$43+1,8)</f>
        <v>8.1624000000000003E-5</v>
      </c>
      <c r="P44" s="14">
        <f>INDEX(SPI!$B$1:$I$931,$A44+(3*$B$1+2)*P$43+1,7)</f>
        <v>6.8186000000000002E-6</v>
      </c>
      <c r="Q44" s="14">
        <f>INDEX(SPI!$B$1:$I$931,$A44+(3*$B$1+2)*P$43+1,8)</f>
        <v>2.2246000000000002E-3</v>
      </c>
      <c r="R44" s="14">
        <f>INDEX(SPI!$B$1:$I$931,$A44+(3*$B$1+2)*R$43+1,7)</f>
        <v>0.13852</v>
      </c>
      <c r="S44" s="14">
        <f>INDEX(SPI!$B$1:$I$931,$A44+(3*$B$1+2)*R$43+1,8)</f>
        <v>-8.6140000000000001E-4</v>
      </c>
      <c r="T44" s="14">
        <f>INDEX(SPI!$B$1:$I$931,$A44+(3*$B$1+2)*T$43+1,7)</f>
        <v>-5.79E-3</v>
      </c>
      <c r="U44" s="14">
        <f>INDEX(SPI!$B$1:$I$931,$A44+(3*$B$1+2)*T$43+1,8)</f>
        <v>-1.098E-3</v>
      </c>
      <c r="V44" s="14">
        <f>INDEX(SPI!$B$1:$I$931,$A44+(3*$B$1+2)*V$43+1,7)</f>
        <v>-7.5700000000000004E-6</v>
      </c>
      <c r="W44" s="14">
        <f>INDEX(SPI!$B$1:$I$931,$A44+(3*$B$1+2)*V$43+1,8)</f>
        <v>-6.8820000000000003E-4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-2.1270000000000001E-2</v>
      </c>
      <c r="E45" s="14">
        <f>INDEX(SPI!$B$1:$I$931,$A45+(3*$B$1+2)*D$43+1,8)</f>
        <v>20.555</v>
      </c>
      <c r="F45" s="14">
        <f>INDEX(SPI!$B$1:$I$931,$A45+(3*$B$1+2)*F$43+1,7)</f>
        <v>-1.7190000000000001</v>
      </c>
      <c r="G45" s="14">
        <f>INDEX(SPI!$B$1:$I$931,$A45+(3*$B$1+2)*F$43+1,8)</f>
        <v>-4.7029999999999997E-3</v>
      </c>
      <c r="H45" s="14">
        <f>INDEX(SPI!$B$1:$I$931,$A45+(3*$B$1+2)*H$43+1,7)</f>
        <v>1.4907999999999999</v>
      </c>
      <c r="I45" s="14">
        <f>INDEX(SPI!$B$1:$I$931,$A45+(3*$B$1+2)*H$43+1,8)</f>
        <v>-0.66639999999999999</v>
      </c>
      <c r="J45" s="14">
        <f>INDEX(SPI!$B$1:$I$931,$A45+(3*$B$1+2)*J$43+1,7)</f>
        <v>8.4798999999999996E-4</v>
      </c>
      <c r="K45" s="14">
        <f>INDEX(SPI!$B$1:$I$931,$A45+(3*$B$1+2)*J$43+1,8)</f>
        <v>-1.169</v>
      </c>
      <c r="L45" s="14">
        <f>INDEX(SPI!$B$1:$I$931,$A45+(3*$B$1+2)*L$43+1,7)</f>
        <v>0.17027999999999999</v>
      </c>
      <c r="M45" s="14">
        <f>INDEX(SPI!$B$1:$I$931,$A45+(3*$B$1+2)*L$43+1,8)</f>
        <v>7.0153000000000004E-5</v>
      </c>
      <c r="N45" s="14">
        <f>INDEX(SPI!$B$1:$I$931,$A45+(3*$B$1+2)*N$43+1,7)</f>
        <v>-0.1139</v>
      </c>
      <c r="O45" s="14">
        <f>INDEX(SPI!$B$1:$I$931,$A45+(3*$B$1+2)*N$43+1,8)</f>
        <v>-2.477E-4</v>
      </c>
      <c r="P45" s="14">
        <f>INDEX(SPI!$B$1:$I$931,$A45+(3*$B$1+2)*P$43+1,7)</f>
        <v>4.6907999999999997E-4</v>
      </c>
      <c r="Q45" s="14">
        <f>INDEX(SPI!$B$1:$I$931,$A45+(3*$B$1+2)*P$43+1,8)</f>
        <v>0.15304000000000001</v>
      </c>
      <c r="R45" s="14">
        <f>INDEX(SPI!$B$1:$I$931,$A45+(3*$B$1+2)*R$43+1,7)</f>
        <v>-3.1260000000000003E-2</v>
      </c>
      <c r="S45" s="14">
        <f>INDEX(SPI!$B$1:$I$931,$A45+(3*$B$1+2)*R$43+1,8)</f>
        <v>1.9438999999999999E-4</v>
      </c>
      <c r="T45" s="14">
        <f>INDEX(SPI!$B$1:$I$931,$A45+(3*$B$1+2)*T$43+1,7)</f>
        <v>1.7670000000000002E-2</v>
      </c>
      <c r="U45" s="14">
        <f>INDEX(SPI!$B$1:$I$931,$A45+(3*$B$1+2)*T$43+1,8)</f>
        <v>3.3524000000000002E-3</v>
      </c>
      <c r="V45" s="14">
        <f>INDEX(SPI!$B$1:$I$931,$A45+(3*$B$1+2)*V$43+1,7)</f>
        <v>-2.5989999999999997E-4</v>
      </c>
      <c r="W45" s="14">
        <f>INDEX(SPI!$B$1:$I$931,$A45+(3*$B$1+2)*V$43+1,8)</f>
        <v>-2.3630000000000002E-2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6.8164999999999995E-5</v>
      </c>
      <c r="E46" s="15">
        <f>INDEX(SPI!$B$1:$I$931,$A46+(3*$B$1+2)*D$43+1,8)</f>
        <v>-6.5860000000000002E-2</v>
      </c>
      <c r="F46" s="15">
        <f>INDEX(SPI!$B$1:$I$931,$A46+(3*$B$1+2)*F$43+1,7)</f>
        <v>0.12781999999999999</v>
      </c>
      <c r="G46" s="15">
        <f>INDEX(SPI!$B$1:$I$931,$A46+(3*$B$1+2)*F$43+1,8)</f>
        <v>3.4970999999999998E-4</v>
      </c>
      <c r="H46" s="15">
        <f>INDEX(SPI!$B$1:$I$931,$A46+(3*$B$1+2)*H$43+1,7)</f>
        <v>-0.10979999999999999</v>
      </c>
      <c r="I46" s="15">
        <f>INDEX(SPI!$B$1:$I$931,$A46+(3*$B$1+2)*H$43+1,8)</f>
        <v>4.9076000000000002E-2</v>
      </c>
      <c r="J46" s="15">
        <f>INDEX(SPI!$B$1:$I$931,$A46+(3*$B$1+2)*J$43+1,7)</f>
        <v>-2.4019999999999999E-7</v>
      </c>
      <c r="K46" s="15">
        <f>INDEX(SPI!$B$1:$I$931,$A46+(3*$B$1+2)*J$43+1,8)</f>
        <v>3.3116999999999999E-4</v>
      </c>
      <c r="L46" s="15">
        <f>INDEX(SPI!$B$1:$I$931,$A46+(3*$B$1+2)*L$43+1,7)</f>
        <v>-1.248E-2</v>
      </c>
      <c r="M46" s="15">
        <f>INDEX(SPI!$B$1:$I$931,$A46+(3*$B$1+2)*L$43+1,8)</f>
        <v>-5.1399999999999999E-6</v>
      </c>
      <c r="N46" s="15">
        <f>INDEX(SPI!$B$1:$I$931,$A46+(3*$B$1+2)*N$43+1,7)</f>
        <v>8.3132999999999992E-3</v>
      </c>
      <c r="O46" s="15">
        <f>INDEX(SPI!$B$1:$I$931,$A46+(3*$B$1+2)*N$43+1,8)</f>
        <v>1.8077E-5</v>
      </c>
      <c r="P46" s="15">
        <f>INDEX(SPI!$B$1:$I$931,$A46+(3*$B$1+2)*P$43+1,7)</f>
        <v>9.3676000000000003E-7</v>
      </c>
      <c r="Q46" s="15">
        <f>INDEX(SPI!$B$1:$I$931,$A46+(3*$B$1+2)*P$43+1,8)</f>
        <v>3.0561999999999999E-4</v>
      </c>
      <c r="R46" s="15">
        <f>INDEX(SPI!$B$1:$I$931,$A46+(3*$B$1+2)*R$43+1,7)</f>
        <v>2.2279000000000001E-3</v>
      </c>
      <c r="S46" s="15">
        <f>INDEX(SPI!$B$1:$I$931,$A46+(3*$B$1+2)*R$43+1,8)</f>
        <v>-1.385E-5</v>
      </c>
      <c r="T46" s="15">
        <f>INDEX(SPI!$B$1:$I$931,$A46+(3*$B$1+2)*T$43+1,7)</f>
        <v>-1.2719999999999999E-3</v>
      </c>
      <c r="U46" s="15">
        <f>INDEX(SPI!$B$1:$I$931,$A46+(3*$B$1+2)*T$43+1,8)</f>
        <v>-2.4140000000000001E-4</v>
      </c>
      <c r="V46" s="15">
        <f>INDEX(SPI!$B$1:$I$931,$A46+(3*$B$1+2)*V$43+1,7)</f>
        <v>-7.2389999999999996E-7</v>
      </c>
      <c r="W46" s="15">
        <f>INDEX(SPI!$B$1:$I$931,$A46+(3*$B$1+2)*V$43+1,8)</f>
        <v>-6.5809999999999995E-5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2.8991999999999999E-4</v>
      </c>
      <c r="E47" s="14">
        <f>IF($A47="","",INDEX(SPI!$B$1:$I$931,$A47+(3*$B$1+2)*D$43+1,8))</f>
        <v>-0.28010000000000002</v>
      </c>
      <c r="F47" s="14">
        <f>IF($A47="","",INDEX(SPI!$B$1:$I$931,$A47+(3*$B$1+2)*F$43+1,7))</f>
        <v>14.539</v>
      </c>
      <c r="G47" s="14">
        <f>IF($A47="","",INDEX(SPI!$B$1:$I$931,$A47+(3*$B$1+2)*F$43+1,8))</f>
        <v>3.9778000000000001E-2</v>
      </c>
      <c r="H47" s="14">
        <f>IF($A47="","",INDEX(SPI!$B$1:$I$931,$A47+(3*$B$1+2)*H$43+1,7))</f>
        <v>-0.42870000000000003</v>
      </c>
      <c r="I47" s="14">
        <f>IF($A47="","",INDEX(SPI!$B$1:$I$931,$A47+(3*$B$1+2)*H$43+1,8))</f>
        <v>0.19162999999999999</v>
      </c>
      <c r="J47" s="14">
        <f>IF($A47="","",INDEX(SPI!$B$1:$I$931,$A47+(3*$B$1+2)*J$43+1,7))</f>
        <v>2.1815000000000002E-6</v>
      </c>
      <c r="K47" s="14">
        <f>IF($A47="","",INDEX(SPI!$B$1:$I$931,$A47+(3*$B$1+2)*J$43+1,8))</f>
        <v>-3.0070000000000001E-3</v>
      </c>
      <c r="L47" s="14">
        <f>IF($A47="","",INDEX(SPI!$B$1:$I$931,$A47+(3*$B$1+2)*L$43+1,7))</f>
        <v>-7.8520000000000006E-2</v>
      </c>
      <c r="M47" s="14">
        <f>IF($A47="","",INDEX(SPI!$B$1:$I$931,$A47+(3*$B$1+2)*L$43+1,8))</f>
        <v>-3.235E-5</v>
      </c>
      <c r="N47" s="14">
        <f>IF($A47="","",INDEX(SPI!$B$1:$I$931,$A47+(3*$B$1+2)*N$43+1,7))</f>
        <v>2.0211999999999999E-3</v>
      </c>
      <c r="O47" s="14">
        <f>IF($A47="","",INDEX(SPI!$B$1:$I$931,$A47+(3*$B$1+2)*N$43+1,8))</f>
        <v>4.3950000000000003E-6</v>
      </c>
      <c r="P47" s="14">
        <f>IF($A47="","",INDEX(SPI!$B$1:$I$931,$A47+(3*$B$1+2)*P$43+1,7))</f>
        <v>-8.2670000000000006E-6</v>
      </c>
      <c r="Q47" s="14">
        <f>IF($A47="","",INDEX(SPI!$B$1:$I$931,$A47+(3*$B$1+2)*P$43+1,8))</f>
        <v>-2.6970000000000002E-3</v>
      </c>
      <c r="R47" s="14">
        <f>IF($A47="","",INDEX(SPI!$B$1:$I$931,$A47+(3*$B$1+2)*R$43+1,7))</f>
        <v>-0.1573</v>
      </c>
      <c r="S47" s="14">
        <f>IF($A47="","",INDEX(SPI!$B$1:$I$931,$A47+(3*$B$1+2)*R$43+1,8))</f>
        <v>9.7794000000000006E-4</v>
      </c>
      <c r="T47" s="14">
        <f>IF($A47="","",INDEX(SPI!$B$1:$I$931,$A47+(3*$B$1+2)*T$43+1,7))</f>
        <v>6.5161999999999998E-3</v>
      </c>
      <c r="U47" s="14">
        <f>IF($A47="","",INDEX(SPI!$B$1:$I$931,$A47+(3*$B$1+2)*T$43+1,8))</f>
        <v>1.2363000000000001E-3</v>
      </c>
      <c r="V47" s="14">
        <f>IF($A47="","",INDEX(SPI!$B$1:$I$931,$A47+(3*$B$1+2)*V$43+1,7))</f>
        <v>1.9864000000000002E-5</v>
      </c>
      <c r="W47" s="14">
        <f>IF($A47="","",INDEX(SPI!$B$1:$I$931,$A47+(3*$B$1+2)*V$43+1,8))</f>
        <v>1.8058E-3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-1.7780000000000001E-2</v>
      </c>
      <c r="E48" s="14">
        <f>IF($A48="","",INDEX(SPI!$B$1:$I$931,$A48+(3*$B$1+2)*D$43+1,8))</f>
        <v>17.177</v>
      </c>
      <c r="F48" s="14">
        <f>IF($A48="","",INDEX(SPI!$B$1:$I$931,$A48+(3*$B$1+2)*F$43+1,7))</f>
        <v>-1.486</v>
      </c>
      <c r="G48" s="14">
        <f>IF($A48="","",INDEX(SPI!$B$1:$I$931,$A48+(3*$B$1+2)*F$43+1,8))</f>
        <v>-4.065E-3</v>
      </c>
      <c r="H48" s="14">
        <f>IF($A48="","",INDEX(SPI!$B$1:$I$931,$A48+(3*$B$1+2)*H$43+1,7))</f>
        <v>1.2451000000000001</v>
      </c>
      <c r="I48" s="14">
        <f>IF($A48="","",INDEX(SPI!$B$1:$I$931,$A48+(3*$B$1+2)*H$43+1,8))</f>
        <v>-0.55659999999999998</v>
      </c>
      <c r="J48" s="14">
        <f>IF($A48="","",INDEX(SPI!$B$1:$I$931,$A48+(3*$B$1+2)*J$43+1,7))</f>
        <v>1.3405E-5</v>
      </c>
      <c r="K48" s="14">
        <f>IF($A48="","",INDEX(SPI!$B$1:$I$931,$A48+(3*$B$1+2)*J$43+1,8))</f>
        <v>-1.848E-2</v>
      </c>
      <c r="L48" s="14">
        <f>IF($A48="","",INDEX(SPI!$B$1:$I$931,$A48+(3*$B$1+2)*L$43+1,7))</f>
        <v>3.1933999999999997E-2</v>
      </c>
      <c r="M48" s="14">
        <f>IF($A48="","",INDEX(SPI!$B$1:$I$931,$A48+(3*$B$1+2)*L$43+1,8))</f>
        <v>1.3156000000000001E-5</v>
      </c>
      <c r="N48" s="14">
        <f>IF($A48="","",INDEX(SPI!$B$1:$I$931,$A48+(3*$B$1+2)*N$43+1,7))</f>
        <v>-2.5990000000000002E-3</v>
      </c>
      <c r="O48" s="14">
        <f>IF($A48="","",INDEX(SPI!$B$1:$I$931,$A48+(3*$B$1+2)*N$43+1,8))</f>
        <v>-5.6520000000000003E-6</v>
      </c>
      <c r="P48" s="14">
        <f>IF($A48="","",INDEX(SPI!$B$1:$I$931,$A48+(3*$B$1+2)*P$43+1,7))</f>
        <v>-5.8589999999999998E-4</v>
      </c>
      <c r="Q48" s="14">
        <f>IF($A48="","",INDEX(SPI!$B$1:$I$931,$A48+(3*$B$1+2)*P$43+1,8))</f>
        <v>-0.19109999999999999</v>
      </c>
      <c r="R48" s="14">
        <f>IF($A48="","",INDEX(SPI!$B$1:$I$931,$A48+(3*$B$1+2)*R$43+1,7))</f>
        <v>2.4049000000000001E-2</v>
      </c>
      <c r="S48" s="14">
        <f>IF($A48="","",INDEX(SPI!$B$1:$I$931,$A48+(3*$B$1+2)*R$43+1,8))</f>
        <v>-1.496E-4</v>
      </c>
      <c r="T48" s="14">
        <f>IF($A48="","",INDEX(SPI!$B$1:$I$931,$A48+(3*$B$1+2)*T$43+1,7))</f>
        <v>-2.1899999999999999E-2</v>
      </c>
      <c r="U48" s="14">
        <f>IF($A48="","",INDEX(SPI!$B$1:$I$931,$A48+(3*$B$1+2)*T$43+1,8))</f>
        <v>-4.1549999999999998E-3</v>
      </c>
      <c r="V48" s="14">
        <f>IF($A48="","",INDEX(SPI!$B$1:$I$931,$A48+(3*$B$1+2)*V$43+1,7))</f>
        <v>6.7166000000000003E-4</v>
      </c>
      <c r="W48" s="14">
        <f>IF($A48="","",INDEX(SPI!$B$1:$I$931,$A48+(3*$B$1+2)*V$43+1,8))</f>
        <v>6.1059000000000002E-2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5.2264E-5</v>
      </c>
      <c r="E49" s="15">
        <f>IF($A49="","",INDEX(SPI!$B$1:$I$931,$A49+(3*$B$1+2)*D$43+1,8))</f>
        <v>-5.0500000000000003E-2</v>
      </c>
      <c r="F49" s="15">
        <f>IF($A49="","",INDEX(SPI!$B$1:$I$931,$A49+(3*$B$1+2)*F$43+1,7))</f>
        <v>0.11069</v>
      </c>
      <c r="G49" s="15">
        <f>IF($A49="","",INDEX(SPI!$B$1:$I$931,$A49+(3*$B$1+2)*F$43+1,8))</f>
        <v>3.0284000000000002E-4</v>
      </c>
      <c r="H49" s="15">
        <f>IF($A49="","",INDEX(SPI!$B$1:$I$931,$A49+(3*$B$1+2)*H$43+1,7))</f>
        <v>-9.1950000000000004E-2</v>
      </c>
      <c r="I49" s="15">
        <f>IF($A49="","",INDEX(SPI!$B$1:$I$931,$A49+(3*$B$1+2)*H$43+1,8))</f>
        <v>4.1105000000000003E-2</v>
      </c>
      <c r="J49" s="15">
        <f>IF($A49="","",INDEX(SPI!$B$1:$I$931,$A49+(3*$B$1+2)*J$43+1,7))</f>
        <v>4.4247999999999998E-7</v>
      </c>
      <c r="K49" s="15">
        <f>IF($A49="","",INDEX(SPI!$B$1:$I$931,$A49+(3*$B$1+2)*J$43+1,8))</f>
        <v>-6.0999999999999997E-4</v>
      </c>
      <c r="L49" s="15">
        <f>IF($A49="","",INDEX(SPI!$B$1:$I$931,$A49+(3*$B$1+2)*L$43+1,7))</f>
        <v>-2.3509999999999998E-3</v>
      </c>
      <c r="M49" s="15">
        <f>IF($A49="","",INDEX(SPI!$B$1:$I$931,$A49+(3*$B$1+2)*L$43+1,8))</f>
        <v>-9.6869999999999993E-7</v>
      </c>
      <c r="N49" s="15">
        <f>IF($A49="","",INDEX(SPI!$B$1:$I$931,$A49+(3*$B$1+2)*N$43+1,7))</f>
        <v>2.0687E-4</v>
      </c>
      <c r="O49" s="15">
        <f>IF($A49="","",INDEX(SPI!$B$1:$I$931,$A49+(3*$B$1+2)*N$43+1,8))</f>
        <v>4.4984000000000001E-7</v>
      </c>
      <c r="P49" s="15">
        <f>IF($A49="","",INDEX(SPI!$B$1:$I$931,$A49+(3*$B$1+2)*P$43+1,7))</f>
        <v>-1.248E-6</v>
      </c>
      <c r="Q49" s="15">
        <f>IF($A49="","",INDEX(SPI!$B$1:$I$931,$A49+(3*$B$1+2)*P$43+1,8))</f>
        <v>-4.0719999999999998E-4</v>
      </c>
      <c r="R49" s="15">
        <f>IF($A49="","",INDEX(SPI!$B$1:$I$931,$A49+(3*$B$1+2)*R$43+1,7))</f>
        <v>-1.6949999999999999E-3</v>
      </c>
      <c r="S49" s="15">
        <f>IF($A49="","",INDEX(SPI!$B$1:$I$931,$A49+(3*$B$1+2)*R$43+1,8))</f>
        <v>1.0543000000000001E-5</v>
      </c>
      <c r="T49" s="15">
        <f>IF($A49="","",INDEX(SPI!$B$1:$I$931,$A49+(3*$B$1+2)*T$43+1,7))</f>
        <v>1.5801999999999999E-3</v>
      </c>
      <c r="U49" s="15">
        <f>IF($A49="","",INDEX(SPI!$B$1:$I$931,$A49+(3*$B$1+2)*T$43+1,8))</f>
        <v>2.9981000000000002E-4</v>
      </c>
      <c r="V49" s="15">
        <f>IF($A49="","",INDEX(SPI!$B$1:$I$931,$A49+(3*$B$1+2)*V$43+1,7))</f>
        <v>2.1562000000000002E-6</v>
      </c>
      <c r="W49" s="15">
        <f>IF($A49="","",INDEX(SPI!$B$1:$I$931,$A49+(3*$B$1+2)*V$43+1,8))</f>
        <v>1.9602000000000001E-4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1.9809E-4</v>
      </c>
      <c r="E50" s="14">
        <f>IF($A50="","",INDEX(SPI!$B$1:$I$931,$A50+(3*$B$1+2)*D$43+1,8))</f>
        <v>-0.19139999999999999</v>
      </c>
      <c r="F50" s="14">
        <f>IF($A50="","",INDEX(SPI!$B$1:$I$931,$A50+(3*$B$1+2)*F$43+1,7))</f>
        <v>11.359</v>
      </c>
      <c r="G50" s="14">
        <f>IF($A50="","",INDEX(SPI!$B$1:$I$931,$A50+(3*$B$1+2)*F$43+1,8))</f>
        <v>3.1077E-2</v>
      </c>
      <c r="H50" s="14">
        <f>IF($A50="","",INDEX(SPI!$B$1:$I$931,$A50+(3*$B$1+2)*H$43+1,7))</f>
        <v>-0.32769999999999999</v>
      </c>
      <c r="I50" s="14">
        <f>IF($A50="","",INDEX(SPI!$B$1:$I$931,$A50+(3*$B$1+2)*H$43+1,8))</f>
        <v>0.14648</v>
      </c>
      <c r="J50" s="14">
        <f>IF($A50="","",INDEX(SPI!$B$1:$I$931,$A50+(3*$B$1+2)*J$43+1,7))</f>
        <v>4.4687000000000001E-6</v>
      </c>
      <c r="K50" s="14">
        <f>IF($A50="","",INDEX(SPI!$B$1:$I$931,$A50+(3*$B$1+2)*J$43+1,8))</f>
        <v>-6.1599999999999997E-3</v>
      </c>
      <c r="L50" s="14">
        <f>IF($A50="","",INDEX(SPI!$B$1:$I$931,$A50+(3*$B$1+2)*L$43+1,7))</f>
        <v>0.54739000000000004</v>
      </c>
      <c r="M50" s="14">
        <f>IF($A50="","",INDEX(SPI!$B$1:$I$931,$A50+(3*$B$1+2)*L$43+1,8))</f>
        <v>2.2551E-4</v>
      </c>
      <c r="N50" s="14">
        <f>IF($A50="","",INDEX(SPI!$B$1:$I$931,$A50+(3*$B$1+2)*N$43+1,7))</f>
        <v>-2.3230000000000001E-2</v>
      </c>
      <c r="O50" s="14">
        <f>IF($A50="","",INDEX(SPI!$B$1:$I$931,$A50+(3*$B$1+2)*N$43+1,8))</f>
        <v>-5.0519999999999997E-5</v>
      </c>
      <c r="P50" s="14">
        <f>IF($A50="","",INDEX(SPI!$B$1:$I$931,$A50+(3*$B$1+2)*P$43+1,7))</f>
        <v>-5.5990000000000001E-6</v>
      </c>
      <c r="Q50" s="14">
        <f>IF($A50="","",INDEX(SPI!$B$1:$I$931,$A50+(3*$B$1+2)*P$43+1,8))</f>
        <v>-1.8270000000000001E-3</v>
      </c>
      <c r="R50" s="14">
        <f>IF($A50="","",INDEX(SPI!$B$1:$I$931,$A50+(3*$B$1+2)*R$43+1,7))</f>
        <v>-0.10150000000000001</v>
      </c>
      <c r="S50" s="14">
        <f>IF($A50="","",INDEX(SPI!$B$1:$I$931,$A50+(3*$B$1+2)*R$43+1,8))</f>
        <v>6.3144000000000004E-4</v>
      </c>
      <c r="T50" s="14">
        <f>IF($A50="","",INDEX(SPI!$B$1:$I$931,$A50+(3*$B$1+2)*T$43+1,7))</f>
        <v>3.6248000000000001E-3</v>
      </c>
      <c r="U50" s="14">
        <f>IF($A50="","",INDEX(SPI!$B$1:$I$931,$A50+(3*$B$1+2)*T$43+1,8))</f>
        <v>6.8771000000000001E-4</v>
      </c>
      <c r="V50" s="14">
        <f>IF($A50="","",INDEX(SPI!$B$1:$I$931,$A50+(3*$B$1+2)*V$43+1,7))</f>
        <v>-1.7309999999999999E-5</v>
      </c>
      <c r="W50" s="14">
        <f>IF($A50="","",INDEX(SPI!$B$1:$I$931,$A50+(3*$B$1+2)*V$43+1,8))</f>
        <v>-1.573E-3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-1.3509999999999999E-2</v>
      </c>
      <c r="E51" s="14">
        <f>IF($A51="","",INDEX(SPI!$B$1:$I$931,$A51+(3*$B$1+2)*D$43+1,8))</f>
        <v>13.054</v>
      </c>
      <c r="F51" s="14">
        <f>IF($A51="","",INDEX(SPI!$B$1:$I$931,$A51+(3*$B$1+2)*F$43+1,7))</f>
        <v>-1.169</v>
      </c>
      <c r="G51" s="14">
        <f>IF($A51="","",INDEX(SPI!$B$1:$I$931,$A51+(3*$B$1+2)*F$43+1,8))</f>
        <v>-3.1970000000000002E-3</v>
      </c>
      <c r="H51" s="14">
        <f>IF($A51="","",INDEX(SPI!$B$1:$I$931,$A51+(3*$B$1+2)*H$43+1,7))</f>
        <v>0.94640999999999997</v>
      </c>
      <c r="I51" s="14">
        <f>IF($A51="","",INDEX(SPI!$B$1:$I$931,$A51+(3*$B$1+2)*H$43+1,8))</f>
        <v>-0.42309999999999998</v>
      </c>
      <c r="J51" s="14">
        <f>IF($A51="","",INDEX(SPI!$B$1:$I$931,$A51+(3*$B$1+2)*J$43+1,7))</f>
        <v>-5.8319999999999997E-4</v>
      </c>
      <c r="K51" s="14">
        <f>IF($A51="","",INDEX(SPI!$B$1:$I$931,$A51+(3*$B$1+2)*J$43+1,8))</f>
        <v>0.80391000000000001</v>
      </c>
      <c r="L51" s="14">
        <f>IF($A51="","",INDEX(SPI!$B$1:$I$931,$A51+(3*$B$1+2)*L$43+1,7))</f>
        <v>-7.3410000000000003E-2</v>
      </c>
      <c r="M51" s="14">
        <f>IF($A51="","",INDEX(SPI!$B$1:$I$931,$A51+(3*$B$1+2)*L$43+1,8))</f>
        <v>-3.0239999999999998E-5</v>
      </c>
      <c r="N51" s="14">
        <f>IF($A51="","",INDEX(SPI!$B$1:$I$931,$A51+(3*$B$1+2)*N$43+1,7))</f>
        <v>7.6327999999999993E-2</v>
      </c>
      <c r="O51" s="14">
        <f>IF($A51="","",INDEX(SPI!$B$1:$I$931,$A51+(3*$B$1+2)*N$43+1,8))</f>
        <v>1.6597000000000001E-4</v>
      </c>
      <c r="P51" s="14">
        <f>IF($A51="","",INDEX(SPI!$B$1:$I$931,$A51+(3*$B$1+2)*P$43+1,7))</f>
        <v>-3.3419999999999999E-4</v>
      </c>
      <c r="Q51" s="14">
        <f>IF($A51="","",INDEX(SPI!$B$1:$I$931,$A51+(3*$B$1+2)*P$43+1,8))</f>
        <v>-0.109</v>
      </c>
      <c r="R51" s="14">
        <f>IF($A51="","",INDEX(SPI!$B$1:$I$931,$A51+(3*$B$1+2)*R$43+1,7))</f>
        <v>1.6008000000000001E-2</v>
      </c>
      <c r="S51" s="14">
        <f>IF($A51="","",INDEX(SPI!$B$1:$I$931,$A51+(3*$B$1+2)*R$43+1,8))</f>
        <v>-9.9549999999999994E-5</v>
      </c>
      <c r="T51" s="14">
        <f>IF($A51="","",INDEX(SPI!$B$1:$I$931,$A51+(3*$B$1+2)*T$43+1,7))</f>
        <v>-1.2279999999999999E-2</v>
      </c>
      <c r="U51" s="14">
        <f>IF($A51="","",INDEX(SPI!$B$1:$I$931,$A51+(3*$B$1+2)*T$43+1,8))</f>
        <v>-2.3289999999999999E-3</v>
      </c>
      <c r="V51" s="14">
        <f>IF($A51="","",INDEX(SPI!$B$1:$I$931,$A51+(3*$B$1+2)*V$43+1,7))</f>
        <v>-5.6720000000000002E-4</v>
      </c>
      <c r="W51" s="14">
        <f>IF($A51="","",INDEX(SPI!$B$1:$I$931,$A51+(3*$B$1+2)*V$43+1,8))</f>
        <v>-5.1569999999999998E-2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3.5506999999999997E-5</v>
      </c>
      <c r="E52" s="15">
        <f>IF($A52="","",INDEX(SPI!$B$1:$I$931,$A52+(3*$B$1+2)*D$43+1,8))</f>
        <v>-3.431E-2</v>
      </c>
      <c r="F52" s="15">
        <f>IF($A52="","",INDEX(SPI!$B$1:$I$931,$A52+(3*$B$1+2)*F$43+1,7))</f>
        <v>8.7258000000000002E-2</v>
      </c>
      <c r="G52" s="15">
        <f>IF($A52="","",INDEX(SPI!$B$1:$I$931,$A52+(3*$B$1+2)*F$43+1,8))</f>
        <v>2.3873000000000001E-4</v>
      </c>
      <c r="H52" s="15">
        <f>IF($A52="","",INDEX(SPI!$B$1:$I$931,$A52+(3*$B$1+2)*H$43+1,7))</f>
        <v>-7.0139999999999994E-2</v>
      </c>
      <c r="I52" s="15">
        <f>IF($A52="","",INDEX(SPI!$B$1:$I$931,$A52+(3*$B$1+2)*H$43+1,8))</f>
        <v>3.1352999999999999E-2</v>
      </c>
      <c r="J52" s="15">
        <f>IF($A52="","",INDEX(SPI!$B$1:$I$931,$A52+(3*$B$1+2)*J$43+1,7))</f>
        <v>7.7990000000000004E-7</v>
      </c>
      <c r="K52" s="15">
        <f>IF($A52="","",INDEX(SPI!$B$1:$I$931,$A52+(3*$B$1+2)*J$43+1,8))</f>
        <v>-1.075E-3</v>
      </c>
      <c r="L52" s="15">
        <f>IF($A52="","",INDEX(SPI!$B$1:$I$931,$A52+(3*$B$1+2)*L$43+1,7))</f>
        <v>5.3736000000000001E-3</v>
      </c>
      <c r="M52" s="15">
        <f>IF($A52="","",INDEX(SPI!$B$1:$I$931,$A52+(3*$B$1+2)*L$43+1,8))</f>
        <v>2.2137999999999999E-6</v>
      </c>
      <c r="N52" s="15">
        <f>IF($A52="","",INDEX(SPI!$B$1:$I$931,$A52+(3*$B$1+2)*N$43+1,7))</f>
        <v>-5.5560000000000002E-3</v>
      </c>
      <c r="O52" s="15">
        <f>IF($A52="","",INDEX(SPI!$B$1:$I$931,$A52+(3*$B$1+2)*N$43+1,8))</f>
        <v>-1.208E-5</v>
      </c>
      <c r="P52" s="15">
        <f>IF($A52="","",INDEX(SPI!$B$1:$I$931,$A52+(3*$B$1+2)*P$43+1,7))</f>
        <v>-8.512E-7</v>
      </c>
      <c r="Q52" s="15">
        <f>IF($A52="","",INDEX(SPI!$B$1:$I$931,$A52+(3*$B$1+2)*P$43+1,8))</f>
        <v>-2.7769999999999997E-4</v>
      </c>
      <c r="R52" s="15">
        <f>IF($A52="","",INDEX(SPI!$B$1:$I$931,$A52+(3*$B$1+2)*R$43+1,7))</f>
        <v>-1.134E-3</v>
      </c>
      <c r="S52" s="15">
        <f>IF($A52="","",INDEX(SPI!$B$1:$I$931,$A52+(3*$B$1+2)*R$43+1,8))</f>
        <v>7.0531999999999997E-6</v>
      </c>
      <c r="T52" s="15">
        <f>IF($A52="","",INDEX(SPI!$B$1:$I$931,$A52+(3*$B$1+2)*T$43+1,7))</f>
        <v>8.853E-4</v>
      </c>
      <c r="U52" s="15">
        <f>IF($A52="","",INDEX(SPI!$B$1:$I$931,$A52+(3*$B$1+2)*T$43+1,8))</f>
        <v>1.6796000000000001E-4</v>
      </c>
      <c r="V52" s="15">
        <f>IF($A52="","",INDEX(SPI!$B$1:$I$931,$A52+(3*$B$1+2)*V$43+1,7))</f>
        <v>-1.9889999999999999E-6</v>
      </c>
      <c r="W52" s="15">
        <f>IF($A52="","",INDEX(SPI!$B$1:$I$931,$A52+(3*$B$1+2)*V$43+1,8))</f>
        <v>-1.8090000000000001E-4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1.1183000000000001E-4</v>
      </c>
      <c r="E53" s="14">
        <f>IF($A53="","",INDEX(SPI!$B$1:$I$931,$A53+(3*$B$1+2)*D$43+1,8))</f>
        <v>-0.1081</v>
      </c>
      <c r="F53" s="14">
        <f>IF($A53="","",INDEX(SPI!$B$1:$I$931,$A53+(3*$B$1+2)*F$43+1,7))</f>
        <v>7.835</v>
      </c>
      <c r="G53" s="14">
        <f>IF($A53="","",INDEX(SPI!$B$1:$I$931,$A53+(3*$B$1+2)*F$43+1,8))</f>
        <v>2.1436E-2</v>
      </c>
      <c r="H53" s="14">
        <f>IF($A53="","",INDEX(SPI!$B$1:$I$931,$A53+(3*$B$1+2)*H$43+1,7))</f>
        <v>-0.21840000000000001</v>
      </c>
      <c r="I53" s="14">
        <f>IF($A53="","",INDEX(SPI!$B$1:$I$931,$A53+(3*$B$1+2)*H$43+1,8))</f>
        <v>9.7638000000000003E-2</v>
      </c>
      <c r="J53" s="14">
        <f>IF($A53="","",INDEX(SPI!$B$1:$I$931,$A53+(3*$B$1+2)*J$43+1,7))</f>
        <v>3.8318999999999997E-6</v>
      </c>
      <c r="K53" s="14">
        <f>IF($A53="","",INDEX(SPI!$B$1:$I$931,$A53+(3*$B$1+2)*J$43+1,8))</f>
        <v>-5.2820000000000002E-3</v>
      </c>
      <c r="L53" s="14">
        <f>IF($A53="","",INDEX(SPI!$B$1:$I$931,$A53+(3*$B$1+2)*L$43+1,7))</f>
        <v>0.71753999999999996</v>
      </c>
      <c r="M53" s="14">
        <f>IF($A53="","",INDEX(SPI!$B$1:$I$931,$A53+(3*$B$1+2)*L$43+1,8))</f>
        <v>2.9561000000000002E-4</v>
      </c>
      <c r="N53" s="14">
        <f>IF($A53="","",INDEX(SPI!$B$1:$I$931,$A53+(3*$B$1+2)*N$43+1,7))</f>
        <v>-2.8629999999999999E-2</v>
      </c>
      <c r="O53" s="14">
        <f>IF($A53="","",INDEX(SPI!$B$1:$I$931,$A53+(3*$B$1+2)*N$43+1,8))</f>
        <v>-6.2260000000000004E-5</v>
      </c>
      <c r="P53" s="14">
        <f>IF($A53="","",INDEX(SPI!$B$1:$I$931,$A53+(3*$B$1+2)*P$43+1,7))</f>
        <v>3.8480999999999996E-6</v>
      </c>
      <c r="Q53" s="14">
        <f>IF($A53="","",INDEX(SPI!$B$1:$I$931,$A53+(3*$B$1+2)*P$43+1,8))</f>
        <v>1.2554E-3</v>
      </c>
      <c r="R53" s="14">
        <f>IF($A53="","",INDEX(SPI!$B$1:$I$931,$A53+(3*$B$1+2)*R$43+1,7))</f>
        <v>0.10088</v>
      </c>
      <c r="S53" s="14">
        <f>IF($A53="","",INDEX(SPI!$B$1:$I$931,$A53+(3*$B$1+2)*R$43+1,8))</f>
        <v>-6.2730000000000001E-4</v>
      </c>
      <c r="T53" s="14">
        <f>IF($A53="","",INDEX(SPI!$B$1:$I$931,$A53+(3*$B$1+2)*T$43+1,7))</f>
        <v>-4.5739999999999999E-3</v>
      </c>
      <c r="U53" s="14">
        <f>IF($A53="","",INDEX(SPI!$B$1:$I$931,$A53+(3*$B$1+2)*T$43+1,8))</f>
        <v>-8.6779999999999995E-4</v>
      </c>
      <c r="V53" s="14">
        <f>IF($A53="","",INDEX(SPI!$B$1:$I$931,$A53+(3*$B$1+2)*V$43+1,7))</f>
        <v>-6.2840000000000003E-6</v>
      </c>
      <c r="W53" s="14">
        <f>IF($A53="","",INDEX(SPI!$B$1:$I$931,$A53+(3*$B$1+2)*V$43+1,8))</f>
        <v>-5.7129999999999995E-4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-8.9130000000000008E-3</v>
      </c>
      <c r="E54" s="14">
        <f>IF($A54="","",INDEX(SPI!$B$1:$I$931,$A54+(3*$B$1+2)*D$43+1,8))</f>
        <v>8.6120000000000001</v>
      </c>
      <c r="F54" s="14">
        <f>IF($A54="","",INDEX(SPI!$B$1:$I$931,$A54+(3*$B$1+2)*F$43+1,7))</f>
        <v>-0.8095</v>
      </c>
      <c r="G54" s="14">
        <f>IF($A54="","",INDEX(SPI!$B$1:$I$931,$A54+(3*$B$1+2)*F$43+1,8))</f>
        <v>-2.215E-3</v>
      </c>
      <c r="H54" s="14">
        <f>IF($A54="","",INDEX(SPI!$B$1:$I$931,$A54+(3*$B$1+2)*H$43+1,7))</f>
        <v>0.62663999999999997</v>
      </c>
      <c r="I54" s="14">
        <f>IF($A54="","",INDEX(SPI!$B$1:$I$931,$A54+(3*$B$1+2)*H$43+1,8))</f>
        <v>-0.28010000000000002</v>
      </c>
      <c r="J54" s="14">
        <f>IF($A54="","",INDEX(SPI!$B$1:$I$931,$A54+(3*$B$1+2)*J$43+1,7))</f>
        <v>-7.0870000000000004E-4</v>
      </c>
      <c r="K54" s="14">
        <f>IF($A54="","",INDEX(SPI!$B$1:$I$931,$A54+(3*$B$1+2)*J$43+1,8))</f>
        <v>0.97702</v>
      </c>
      <c r="L54" s="14">
        <f>IF($A54="","",INDEX(SPI!$B$1:$I$931,$A54+(3*$B$1+2)*L$43+1,7))</f>
        <v>-0.1026</v>
      </c>
      <c r="M54" s="14">
        <f>IF($A54="","",INDEX(SPI!$B$1:$I$931,$A54+(3*$B$1+2)*L$43+1,8))</f>
        <v>-4.227E-5</v>
      </c>
      <c r="N54" s="14">
        <f>IF($A54="","",INDEX(SPI!$B$1:$I$931,$A54+(3*$B$1+2)*N$43+1,7))</f>
        <v>9.2896999999999993E-2</v>
      </c>
      <c r="O54" s="14">
        <f>IF($A54="","",INDEX(SPI!$B$1:$I$931,$A54+(3*$B$1+2)*N$43+1,8))</f>
        <v>2.02E-4</v>
      </c>
      <c r="P54" s="14">
        <f>IF($A54="","",INDEX(SPI!$B$1:$I$931,$A54+(3*$B$1+2)*P$43+1,7))</f>
        <v>4.1376E-4</v>
      </c>
      <c r="Q54" s="14">
        <f>IF($A54="","",INDEX(SPI!$B$1:$I$931,$A54+(3*$B$1+2)*P$43+1,8))</f>
        <v>0.13499</v>
      </c>
      <c r="R54" s="14">
        <f>IF($A54="","",INDEX(SPI!$B$1:$I$931,$A54+(3*$B$1+2)*R$43+1,7))</f>
        <v>-1.7100000000000001E-2</v>
      </c>
      <c r="S54" s="14">
        <f>IF($A54="","",INDEX(SPI!$B$1:$I$931,$A54+(3*$B$1+2)*R$43+1,8))</f>
        <v>1.0632999999999999E-4</v>
      </c>
      <c r="T54" s="14">
        <f>IF($A54="","",INDEX(SPI!$B$1:$I$931,$A54+(3*$B$1+2)*T$43+1,7))</f>
        <v>1.5192000000000001E-2</v>
      </c>
      <c r="U54" s="14">
        <f>IF($A54="","",INDEX(SPI!$B$1:$I$931,$A54+(3*$B$1+2)*T$43+1,8))</f>
        <v>2.8823E-3</v>
      </c>
      <c r="V54" s="14">
        <f>IF($A54="","",INDEX(SPI!$B$1:$I$931,$A54+(3*$B$1+2)*V$43+1,7))</f>
        <v>-1.9230000000000001E-4</v>
      </c>
      <c r="W54" s="14">
        <f>IF($A54="","",INDEX(SPI!$B$1:$I$931,$A54+(3*$B$1+2)*V$43+1,8))</f>
        <v>-1.7479999999999999E-2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1.9769999999999999E-5</v>
      </c>
      <c r="E55" s="15">
        <f>IF($A55="","",INDEX(SPI!$B$1:$I$931,$A55+(3*$B$1+2)*D$43+1,8))</f>
        <v>-1.9099999999999999E-2</v>
      </c>
      <c r="F55" s="15">
        <f>IF($A55="","",INDEX(SPI!$B$1:$I$931,$A55+(3*$B$1+2)*F$43+1,7))</f>
        <v>6.0629000000000002E-2</v>
      </c>
      <c r="G55" s="15">
        <f>IF($A55="","",INDEX(SPI!$B$1:$I$931,$A55+(3*$B$1+2)*F$43+1,8))</f>
        <v>1.6588E-4</v>
      </c>
      <c r="H55" s="15">
        <f>IF($A55="","",INDEX(SPI!$B$1:$I$931,$A55+(3*$B$1+2)*H$43+1,7))</f>
        <v>-4.6649999999999997E-2</v>
      </c>
      <c r="I55" s="15">
        <f>IF($A55="","",INDEX(SPI!$B$1:$I$931,$A55+(3*$B$1+2)*H$43+1,8))</f>
        <v>2.0851999999999999E-2</v>
      </c>
      <c r="J55" s="15">
        <f>IF($A55="","",INDEX(SPI!$B$1:$I$931,$A55+(3*$B$1+2)*J$43+1,7))</f>
        <v>6.3766000000000001E-7</v>
      </c>
      <c r="K55" s="15">
        <f>IF($A55="","",INDEX(SPI!$B$1:$I$931,$A55+(3*$B$1+2)*J$43+1,8))</f>
        <v>-8.7900000000000001E-4</v>
      </c>
      <c r="L55" s="15">
        <f>IF($A55="","",INDEX(SPI!$B$1:$I$931,$A55+(3*$B$1+2)*L$43+1,7))</f>
        <v>7.5300000000000002E-3</v>
      </c>
      <c r="M55" s="15">
        <f>IF($A55="","",INDEX(SPI!$B$1:$I$931,$A55+(3*$B$1+2)*L$43+1,8))</f>
        <v>3.1022000000000001E-6</v>
      </c>
      <c r="N55" s="15">
        <f>IF($A55="","",INDEX(SPI!$B$1:$I$931,$A55+(3*$B$1+2)*N$43+1,7))</f>
        <v>-6.7840000000000001E-3</v>
      </c>
      <c r="O55" s="15">
        <f>IF($A55="","",INDEX(SPI!$B$1:$I$931,$A55+(3*$B$1+2)*N$43+1,8))</f>
        <v>-1.4749999999999999E-5</v>
      </c>
      <c r="P55" s="15">
        <f>IF($A55="","",INDEX(SPI!$B$1:$I$931,$A55+(3*$B$1+2)*P$43+1,7))</f>
        <v>5.1758999999999996E-7</v>
      </c>
      <c r="Q55" s="15">
        <f>IF($A55="","",INDEX(SPI!$B$1:$I$931,$A55+(3*$B$1+2)*P$43+1,8))</f>
        <v>1.6886000000000001E-4</v>
      </c>
      <c r="R55" s="15">
        <f>IF($A55="","",INDEX(SPI!$B$1:$I$931,$A55+(3*$B$1+2)*R$43+1,7))</f>
        <v>1.2006E-3</v>
      </c>
      <c r="S55" s="15">
        <f>IF($A55="","",INDEX(SPI!$B$1:$I$931,$A55+(3*$B$1+2)*R$43+1,8))</f>
        <v>-7.4660000000000002E-6</v>
      </c>
      <c r="T55" s="15">
        <f>IF($A55="","",INDEX(SPI!$B$1:$I$931,$A55+(3*$B$1+2)*T$43+1,7))</f>
        <v>-1.093E-3</v>
      </c>
      <c r="U55" s="15">
        <f>IF($A55="","",INDEX(SPI!$B$1:$I$931,$A55+(3*$B$1+2)*T$43+1,8))</f>
        <v>-2.073E-4</v>
      </c>
      <c r="V55" s="15">
        <f>IF($A55="","",INDEX(SPI!$B$1:$I$931,$A55+(3*$B$1+2)*V$43+1,7))</f>
        <v>-6.7339999999999998E-7</v>
      </c>
      <c r="W55" s="15">
        <f>IF($A55="","",INDEX(SPI!$B$1:$I$931,$A55+(3*$B$1+2)*V$43+1,8))</f>
        <v>-6.122E-5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3.8331999999999998E-5</v>
      </c>
      <c r="E56" s="14">
        <f>IF($A56="","",INDEX(SPI!$B$1:$I$931,$A56+(3*$B$1+2)*D$43+1,8))</f>
        <v>-3.7039999999999997E-2</v>
      </c>
      <c r="F56" s="14">
        <f>IF($A56="","",INDEX(SPI!$B$1:$I$931,$A56+(3*$B$1+2)*F$43+1,7))</f>
        <v>3.7904</v>
      </c>
      <c r="G56" s="14">
        <f>IF($A56="","",INDEX(SPI!$B$1:$I$931,$A56+(3*$B$1+2)*F$43+1,8))</f>
        <v>1.0370000000000001E-2</v>
      </c>
      <c r="H56" s="14">
        <f>IF($A56="","",INDEX(SPI!$B$1:$I$931,$A56+(3*$B$1+2)*H$43+1,7))</f>
        <v>-9.8890000000000006E-2</v>
      </c>
      <c r="I56" s="14">
        <f>IF($A56="","",INDEX(SPI!$B$1:$I$931,$A56+(3*$B$1+2)*H$43+1,8))</f>
        <v>4.4206000000000002E-2</v>
      </c>
      <c r="J56" s="14">
        <f>IF($A56="","",INDEX(SPI!$B$1:$I$931,$A56+(3*$B$1+2)*J$43+1,7))</f>
        <v>1.5463999999999999E-6</v>
      </c>
      <c r="K56" s="14">
        <f>IF($A56="","",INDEX(SPI!$B$1:$I$931,$A56+(3*$B$1+2)*J$43+1,8))</f>
        <v>-2.1320000000000002E-3</v>
      </c>
      <c r="L56" s="14">
        <f>IF($A56="","",INDEX(SPI!$B$1:$I$931,$A56+(3*$B$1+2)*L$43+1,7))</f>
        <v>0.46722999999999998</v>
      </c>
      <c r="M56" s="14">
        <f>IF($A56="","",INDEX(SPI!$B$1:$I$931,$A56+(3*$B$1+2)*L$43+1,8))</f>
        <v>1.9249E-4</v>
      </c>
      <c r="N56" s="14">
        <f>IF($A56="","",INDEX(SPI!$B$1:$I$931,$A56+(3*$B$1+2)*N$43+1,7))</f>
        <v>-1.728E-2</v>
      </c>
      <c r="O56" s="14">
        <f>IF($A56="","",INDEX(SPI!$B$1:$I$931,$A56+(3*$B$1+2)*N$43+1,8))</f>
        <v>-3.7580000000000003E-5</v>
      </c>
      <c r="P56" s="14">
        <f>IF($A56="","",INDEX(SPI!$B$1:$I$931,$A56+(3*$B$1+2)*P$43+1,7))</f>
        <v>6.7596999999999998E-6</v>
      </c>
      <c r="Q56" s="14">
        <f>IF($A56="","",INDEX(SPI!$B$1:$I$931,$A56+(3*$B$1+2)*P$43+1,8))</f>
        <v>2.2052999999999999E-3</v>
      </c>
      <c r="R56" s="14">
        <f>IF($A56="","",INDEX(SPI!$B$1:$I$931,$A56+(3*$B$1+2)*R$43+1,7))</f>
        <v>0.15476000000000001</v>
      </c>
      <c r="S56" s="14">
        <f>IF($A56="","",INDEX(SPI!$B$1:$I$931,$A56+(3*$B$1+2)*R$43+1,8))</f>
        <v>-9.6239999999999997E-4</v>
      </c>
      <c r="T56" s="14">
        <f>IF($A56="","",INDEX(SPI!$B$1:$I$931,$A56+(3*$B$1+2)*T$43+1,7))</f>
        <v>-6.0650000000000001E-3</v>
      </c>
      <c r="U56" s="14">
        <f>IF($A56="","",INDEX(SPI!$B$1:$I$931,$A56+(3*$B$1+2)*T$43+1,8))</f>
        <v>-1.1509999999999999E-3</v>
      </c>
      <c r="V56" s="14">
        <f>IF($A56="","",INDEX(SPI!$B$1:$I$931,$A56+(3*$B$1+2)*V$43+1,7))</f>
        <v>1.9043E-5</v>
      </c>
      <c r="W56" s="14">
        <f>IF($A56="","",INDEX(SPI!$B$1:$I$931,$A56+(3*$B$1+2)*V$43+1,8))</f>
        <v>1.7311E-3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-3.98E-3</v>
      </c>
      <c r="E57" s="14">
        <f>IF($A57="","",INDEX(SPI!$B$1:$I$931,$A57+(3*$B$1+2)*D$43+1,8))</f>
        <v>3.8456999999999999</v>
      </c>
      <c r="F57" s="14">
        <f>IF($A57="","",INDEX(SPI!$B$1:$I$931,$A57+(3*$B$1+2)*F$43+1,7))</f>
        <v>-0.38740000000000002</v>
      </c>
      <c r="G57" s="14">
        <f>IF($A57="","",INDEX(SPI!$B$1:$I$931,$A57+(3*$B$1+2)*F$43+1,8))</f>
        <v>-1.06E-3</v>
      </c>
      <c r="H57" s="14">
        <f>IF($A57="","",INDEX(SPI!$B$1:$I$931,$A57+(3*$B$1+2)*H$43+1,7))</f>
        <v>0.28210000000000002</v>
      </c>
      <c r="I57" s="14">
        <f>IF($A57="","",INDEX(SPI!$B$1:$I$931,$A57+(3*$B$1+2)*H$43+1,8))</f>
        <v>-0.12609999999999999</v>
      </c>
      <c r="J57" s="14">
        <f>IF($A57="","",INDEX(SPI!$B$1:$I$931,$A57+(3*$B$1+2)*J$43+1,7))</f>
        <v>-4.2559999999999999E-4</v>
      </c>
      <c r="K57" s="14">
        <f>IF($A57="","",INDEX(SPI!$B$1:$I$931,$A57+(3*$B$1+2)*J$43+1,8))</f>
        <v>0.58667000000000002</v>
      </c>
      <c r="L57" s="14">
        <f>IF($A57="","",INDEX(SPI!$B$1:$I$931,$A57+(3*$B$1+2)*L$43+1,7))</f>
        <v>-6.633E-2</v>
      </c>
      <c r="M57" s="14">
        <f>IF($A57="","",INDEX(SPI!$B$1:$I$931,$A57+(3*$B$1+2)*L$43+1,8))</f>
        <v>-2.7330000000000001E-5</v>
      </c>
      <c r="N57" s="14">
        <f>IF($A57="","",INDEX(SPI!$B$1:$I$931,$A57+(3*$B$1+2)*N$43+1,7))</f>
        <v>5.6149999999999999E-2</v>
      </c>
      <c r="O57" s="14">
        <f>IF($A57="","",INDEX(SPI!$B$1:$I$931,$A57+(3*$B$1+2)*N$43+1,8))</f>
        <v>1.2210000000000001E-4</v>
      </c>
      <c r="P57" s="14">
        <f>IF($A57="","",INDEX(SPI!$B$1:$I$931,$A57+(3*$B$1+2)*P$43+1,7))</f>
        <v>5.5358999999999996E-4</v>
      </c>
      <c r="Q57" s="14">
        <f>IF($A57="","",INDEX(SPI!$B$1:$I$931,$A57+(3*$B$1+2)*P$43+1,8))</f>
        <v>0.18060999999999999</v>
      </c>
      <c r="R57" s="14">
        <f>IF($A57="","",INDEX(SPI!$B$1:$I$931,$A57+(3*$B$1+2)*R$43+1,7))</f>
        <v>-2.5170000000000001E-2</v>
      </c>
      <c r="S57" s="14">
        <f>IF($A57="","",INDEX(SPI!$B$1:$I$931,$A57+(3*$B$1+2)*R$43+1,8))</f>
        <v>1.5651E-4</v>
      </c>
      <c r="T57" s="14">
        <f>IF($A57="","",INDEX(SPI!$B$1:$I$931,$A57+(3*$B$1+2)*T$43+1,7))</f>
        <v>2.0423E-2</v>
      </c>
      <c r="U57" s="14">
        <f>IF($A57="","",INDEX(SPI!$B$1:$I$931,$A57+(3*$B$1+2)*T$43+1,8))</f>
        <v>3.8747999999999999E-3</v>
      </c>
      <c r="V57" s="14">
        <f>IF($A57="","",INDEX(SPI!$B$1:$I$931,$A57+(3*$B$1+2)*V$43+1,7))</f>
        <v>6.6518000000000002E-4</v>
      </c>
      <c r="W57" s="14">
        <f>IF($A57="","",INDEX(SPI!$B$1:$I$931,$A57+(3*$B$1+2)*V$43+1,8))</f>
        <v>6.0470000000000003E-2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6.5868000000000002E-6</v>
      </c>
      <c r="E58" s="15">
        <f>IF($A58="","",INDEX(SPI!$B$1:$I$931,$A58+(3*$B$1+2)*D$43+1,8))</f>
        <v>-6.3639999999999999E-3</v>
      </c>
      <c r="F58" s="15">
        <f>IF($A58="","",INDEX(SPI!$B$1:$I$931,$A58+(3*$B$1+2)*F$43+1,7))</f>
        <v>2.9125000000000002E-2</v>
      </c>
      <c r="G58" s="15">
        <f>IF($A58="","",INDEX(SPI!$B$1:$I$931,$A58+(3*$B$1+2)*F$43+1,8))</f>
        <v>7.9685999999999996E-5</v>
      </c>
      <c r="H58" s="15">
        <f>IF($A58="","",INDEX(SPI!$B$1:$I$931,$A58+(3*$B$1+2)*H$43+1,7))</f>
        <v>-2.112E-2</v>
      </c>
      <c r="I58" s="15">
        <f>IF($A58="","",INDEX(SPI!$B$1:$I$931,$A58+(3*$B$1+2)*H$43+1,8))</f>
        <v>9.4412000000000003E-3</v>
      </c>
      <c r="J58" s="15">
        <f>IF($A58="","",INDEX(SPI!$B$1:$I$931,$A58+(3*$B$1+2)*J$43+1,7))</f>
        <v>2.3900000000000001E-7</v>
      </c>
      <c r="K58" s="15">
        <f>IF($A58="","",INDEX(SPI!$B$1:$I$931,$A58+(3*$B$1+2)*J$43+1,8))</f>
        <v>-3.2949999999999999E-4</v>
      </c>
      <c r="L58" s="15">
        <f>IF($A58="","",INDEX(SPI!$B$1:$I$931,$A58+(3*$B$1+2)*L$43+1,7))</f>
        <v>4.8812999999999999E-3</v>
      </c>
      <c r="M58" s="15">
        <f>IF($A58="","",INDEX(SPI!$B$1:$I$931,$A58+(3*$B$1+2)*L$43+1,8))</f>
        <v>2.0109999999999999E-6</v>
      </c>
      <c r="N58" s="15">
        <f>IF($A58="","",INDEX(SPI!$B$1:$I$931,$A58+(3*$B$1+2)*N$43+1,7))</f>
        <v>-4.1139999999999996E-3</v>
      </c>
      <c r="O58" s="15">
        <f>IF($A58="","",INDEX(SPI!$B$1:$I$931,$A58+(3*$B$1+2)*N$43+1,8))</f>
        <v>-8.9460000000000004E-6</v>
      </c>
      <c r="P58" s="15">
        <f>IF($A58="","",INDEX(SPI!$B$1:$I$931,$A58+(3*$B$1+2)*P$43+1,7))</f>
        <v>9.4832999999999997E-7</v>
      </c>
      <c r="Q58" s="15">
        <f>IF($A58="","",INDEX(SPI!$B$1:$I$931,$A58+(3*$B$1+2)*P$43+1,8))</f>
        <v>3.0938999999999999E-4</v>
      </c>
      <c r="R58" s="15">
        <f>IF($A58="","",INDEX(SPI!$B$1:$I$931,$A58+(3*$B$1+2)*R$43+1,7))</f>
        <v>1.7779E-3</v>
      </c>
      <c r="S58" s="15">
        <f>IF($A58="","",INDEX(SPI!$B$1:$I$931,$A58+(3*$B$1+2)*R$43+1,8))</f>
        <v>-1.1060000000000001E-5</v>
      </c>
      <c r="T58" s="15">
        <f>IF($A58="","",INDEX(SPI!$B$1:$I$931,$A58+(3*$B$1+2)*T$43+1,7))</f>
        <v>-1.472E-3</v>
      </c>
      <c r="U58" s="15">
        <f>IF($A58="","",INDEX(SPI!$B$1:$I$931,$A58+(3*$B$1+2)*T$43+1,8))</f>
        <v>-2.7930000000000001E-4</v>
      </c>
      <c r="V58" s="15">
        <f>IF($A58="","",INDEX(SPI!$B$1:$I$931,$A58+(3*$B$1+2)*V$43+1,7))</f>
        <v>2.1163E-6</v>
      </c>
      <c r="W58" s="15">
        <f>IF($A58="","",INDEX(SPI!$B$1:$I$931,$A58+(3*$B$1+2)*V$43+1,8))</f>
        <v>1.9238999999999999E-4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 x14ac:dyDescent="0.2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 x14ac:dyDescent="0.2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 x14ac:dyDescent="0.2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opLeftCell="A7"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5</v>
      </c>
    </row>
    <row r="3" spans="1:14" x14ac:dyDescent="0.2">
      <c r="A3" s="10" t="s">
        <v>25</v>
      </c>
      <c r="D3" s="6" t="s">
        <v>31</v>
      </c>
      <c r="E3" s="1">
        <f>Dati!B4</f>
        <v>12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>triang 9</v>
      </c>
      <c r="K5" s="6" t="str">
        <f t="shared" si="0"/>
        <v>triang 10</v>
      </c>
      <c r="L5" s="6" t="str">
        <f t="shared" si="0"/>
        <v>triang 11</v>
      </c>
      <c r="M5" s="6" t="str">
        <f t="shared" si="0"/>
        <v>triang 12</v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3.3</v>
      </c>
      <c r="E8" s="3">
        <f t="shared" si="1"/>
        <v>3.3</v>
      </c>
      <c r="F8" s="3">
        <f t="shared" si="1"/>
        <v>6.9</v>
      </c>
      <c r="G8" s="3">
        <f t="shared" si="1"/>
        <v>6.9</v>
      </c>
      <c r="H8" s="3">
        <f t="shared" si="1"/>
        <v>22.2</v>
      </c>
      <c r="I8" s="3">
        <f t="shared" si="1"/>
        <v>22.2</v>
      </c>
      <c r="J8" s="3">
        <f t="shared" si="1"/>
        <v>25.8</v>
      </c>
      <c r="K8" s="3">
        <f t="shared" si="1"/>
        <v>25.8</v>
      </c>
      <c r="L8" s="3">
        <f t="shared" si="1"/>
        <v>3.3</v>
      </c>
      <c r="M8" s="3">
        <f t="shared" si="1"/>
        <v>3.3</v>
      </c>
    </row>
    <row r="9" spans="1:14" x14ac:dyDescent="0.2">
      <c r="A9" s="6" t="s">
        <v>28</v>
      </c>
      <c r="B9" s="3">
        <f>Dati!B9</f>
        <v>5.4</v>
      </c>
      <c r="C9" s="3">
        <f>B11</f>
        <v>10.8</v>
      </c>
      <c r="D9" s="3">
        <f t="shared" ref="D9:M9" si="2">C11</f>
        <v>10.8</v>
      </c>
      <c r="E9" s="3">
        <f t="shared" si="2"/>
        <v>12.6</v>
      </c>
      <c r="F9" s="3">
        <f t="shared" si="2"/>
        <v>12.6</v>
      </c>
      <c r="G9" s="3">
        <f t="shared" si="2"/>
        <v>10.8</v>
      </c>
      <c r="H9" s="3">
        <f t="shared" si="2"/>
        <v>10.8</v>
      </c>
      <c r="I9" s="3">
        <f t="shared" si="2"/>
        <v>12.6</v>
      </c>
      <c r="J9" s="3">
        <f t="shared" si="2"/>
        <v>12.6</v>
      </c>
      <c r="K9" s="3">
        <f t="shared" si="2"/>
        <v>0</v>
      </c>
      <c r="L9" s="3">
        <f t="shared" si="2"/>
        <v>0</v>
      </c>
      <c r="M9" s="3">
        <f t="shared" si="2"/>
        <v>5.4</v>
      </c>
    </row>
    <row r="10" spans="1:14" x14ac:dyDescent="0.2">
      <c r="A10" s="6" t="s">
        <v>29</v>
      </c>
      <c r="B10" s="3">
        <f>Dati!C8</f>
        <v>0</v>
      </c>
      <c r="C10" s="3">
        <f>Dati!D8</f>
        <v>3.3</v>
      </c>
      <c r="D10" s="3">
        <f>Dati!E8</f>
        <v>3.3</v>
      </c>
      <c r="E10" s="3">
        <f>Dati!F8</f>
        <v>6.9</v>
      </c>
      <c r="F10" s="3">
        <f>Dati!G8</f>
        <v>6.9</v>
      </c>
      <c r="G10" s="3">
        <f>Dati!H8</f>
        <v>22.2</v>
      </c>
      <c r="H10" s="3">
        <f>Dati!I8</f>
        <v>22.2</v>
      </c>
      <c r="I10" s="3">
        <f>Dati!J8</f>
        <v>25.8</v>
      </c>
      <c r="J10" s="3">
        <f>Dati!K8</f>
        <v>25.8</v>
      </c>
      <c r="K10" s="3">
        <f>Dati!L8</f>
        <v>3.3</v>
      </c>
      <c r="L10" s="3">
        <f>Dati!M8</f>
        <v>3.3</v>
      </c>
      <c r="M10" s="3">
        <f>Dati!N8</f>
        <v>0</v>
      </c>
    </row>
    <row r="11" spans="1:14" x14ac:dyDescent="0.2">
      <c r="A11" s="6" t="s">
        <v>30</v>
      </c>
      <c r="B11" s="3">
        <f>Dati!C9</f>
        <v>10.8</v>
      </c>
      <c r="C11" s="3">
        <f>Dati!D9</f>
        <v>10.8</v>
      </c>
      <c r="D11" s="3">
        <f>Dati!E9</f>
        <v>12.6</v>
      </c>
      <c r="E11" s="3">
        <f>Dati!F9</f>
        <v>12.6</v>
      </c>
      <c r="F11" s="3">
        <f>Dati!G9</f>
        <v>10.8</v>
      </c>
      <c r="G11" s="3">
        <f>Dati!H9</f>
        <v>10.8</v>
      </c>
      <c r="H11" s="3">
        <f>Dati!I9</f>
        <v>12.6</v>
      </c>
      <c r="I11" s="3">
        <f>Dati!J9</f>
        <v>12.6</v>
      </c>
      <c r="J11" s="3">
        <f>Dati!K9</f>
        <v>0</v>
      </c>
      <c r="K11" s="3">
        <f>Dati!L9</f>
        <v>0</v>
      </c>
      <c r="L11" s="3">
        <f>Dati!M9</f>
        <v>5.4</v>
      </c>
      <c r="M11" s="3">
        <f>Dati!N9</f>
        <v>0</v>
      </c>
    </row>
    <row r="12" spans="1:14" x14ac:dyDescent="0.2">
      <c r="A12" s="6" t="s">
        <v>35</v>
      </c>
      <c r="B12" s="3">
        <f>(B8+B10)/3</f>
        <v>0</v>
      </c>
      <c r="C12" s="3">
        <f t="shared" ref="C12:M12" si="3">(C8+C10)/3</f>
        <v>1.0999999999999999</v>
      </c>
      <c r="D12" s="3">
        <f t="shared" si="3"/>
        <v>2.1999999999999997</v>
      </c>
      <c r="E12" s="3">
        <f t="shared" si="3"/>
        <v>3.4</v>
      </c>
      <c r="F12" s="3">
        <f t="shared" si="3"/>
        <v>4.6000000000000005</v>
      </c>
      <c r="G12" s="3">
        <f t="shared" si="3"/>
        <v>9.7000000000000011</v>
      </c>
      <c r="H12" s="3">
        <f t="shared" si="3"/>
        <v>14.799999999999999</v>
      </c>
      <c r="I12" s="3">
        <f t="shared" si="3"/>
        <v>16</v>
      </c>
      <c r="J12" s="3">
        <f t="shared" si="3"/>
        <v>17.2</v>
      </c>
      <c r="K12" s="3">
        <f t="shared" si="3"/>
        <v>9.7000000000000011</v>
      </c>
      <c r="L12" s="3">
        <f t="shared" si="3"/>
        <v>2.1999999999999997</v>
      </c>
      <c r="M12" s="3">
        <f t="shared" si="3"/>
        <v>1.0999999999999999</v>
      </c>
    </row>
    <row r="13" spans="1:14" x14ac:dyDescent="0.2">
      <c r="A13" s="6" t="s">
        <v>36</v>
      </c>
      <c r="B13" s="3">
        <f>(B9+B11)/3</f>
        <v>5.4000000000000012</v>
      </c>
      <c r="C13" s="3">
        <f t="shared" ref="C13:M13" si="4">(C9+C11)/3</f>
        <v>7.2</v>
      </c>
      <c r="D13" s="3">
        <f t="shared" si="4"/>
        <v>7.8</v>
      </c>
      <c r="E13" s="3">
        <f t="shared" si="4"/>
        <v>8.4</v>
      </c>
      <c r="F13" s="3">
        <f t="shared" si="4"/>
        <v>7.8</v>
      </c>
      <c r="G13" s="3">
        <f t="shared" si="4"/>
        <v>7.2</v>
      </c>
      <c r="H13" s="3">
        <f t="shared" si="4"/>
        <v>7.8</v>
      </c>
      <c r="I13" s="3">
        <f t="shared" si="4"/>
        <v>8.4</v>
      </c>
      <c r="J13" s="3">
        <f t="shared" si="4"/>
        <v>4.2</v>
      </c>
      <c r="K13" s="3">
        <f t="shared" si="4"/>
        <v>0</v>
      </c>
      <c r="L13" s="3">
        <f t="shared" si="4"/>
        <v>1.8</v>
      </c>
      <c r="M13" s="3">
        <f t="shared" si="4"/>
        <v>1.8</v>
      </c>
    </row>
    <row r="14" spans="1:14" x14ac:dyDescent="0.2">
      <c r="A14" s="6" t="s">
        <v>37</v>
      </c>
      <c r="B14" s="9">
        <f>(B8*B11-B9*B10)/2</f>
        <v>0</v>
      </c>
      <c r="C14" s="9">
        <f t="shared" ref="C14:M14" si="5">(C8*C11-C9*C10)/2</f>
        <v>-17.82</v>
      </c>
      <c r="D14" s="9">
        <f t="shared" si="5"/>
        <v>2.9699999999999989</v>
      </c>
      <c r="E14" s="9">
        <f t="shared" si="5"/>
        <v>-22.68</v>
      </c>
      <c r="F14" s="9">
        <f t="shared" si="5"/>
        <v>-6.2099999999999937</v>
      </c>
      <c r="G14" s="9">
        <f t="shared" si="5"/>
        <v>-82.62</v>
      </c>
      <c r="H14" s="9">
        <f t="shared" si="5"/>
        <v>19.979999999999976</v>
      </c>
      <c r="I14" s="9">
        <f t="shared" si="5"/>
        <v>-22.680000000000007</v>
      </c>
      <c r="J14" s="9">
        <f t="shared" si="5"/>
        <v>-162.54</v>
      </c>
      <c r="K14" s="9">
        <f t="shared" si="5"/>
        <v>0</v>
      </c>
      <c r="L14" s="9">
        <f t="shared" si="5"/>
        <v>8.91</v>
      </c>
      <c r="M14" s="9">
        <f t="shared" si="5"/>
        <v>0</v>
      </c>
      <c r="N14" s="12">
        <f>SUM(B14:M14)</f>
        <v>-282.69</v>
      </c>
    </row>
    <row r="15" spans="1:14" x14ac:dyDescent="0.2">
      <c r="A15" s="6" t="s">
        <v>38</v>
      </c>
      <c r="B15" s="11">
        <f>B14*B12</f>
        <v>0</v>
      </c>
      <c r="C15" s="11">
        <f t="shared" ref="C15:M15" si="6">C14*C12</f>
        <v>-19.601999999999997</v>
      </c>
      <c r="D15" s="11">
        <f t="shared" si="6"/>
        <v>6.5339999999999971</v>
      </c>
      <c r="E15" s="11">
        <f t="shared" si="6"/>
        <v>-77.111999999999995</v>
      </c>
      <c r="F15" s="11">
        <f t="shared" si="6"/>
        <v>-28.565999999999974</v>
      </c>
      <c r="G15" s="11">
        <f t="shared" si="6"/>
        <v>-801.4140000000001</v>
      </c>
      <c r="H15" s="11">
        <f t="shared" si="6"/>
        <v>295.70399999999961</v>
      </c>
      <c r="I15" s="11">
        <f t="shared" si="6"/>
        <v>-362.88000000000011</v>
      </c>
      <c r="J15" s="11">
        <f t="shared" si="6"/>
        <v>-2795.6879999999996</v>
      </c>
      <c r="K15" s="11">
        <f t="shared" si="6"/>
        <v>0</v>
      </c>
      <c r="L15" s="11">
        <f t="shared" si="6"/>
        <v>19.601999999999997</v>
      </c>
      <c r="M15" s="11">
        <f t="shared" si="6"/>
        <v>0</v>
      </c>
      <c r="N15" s="12">
        <f>SUM(B15:M15)</f>
        <v>-3763.4220000000005</v>
      </c>
    </row>
    <row r="16" spans="1:14" x14ac:dyDescent="0.2">
      <c r="A16" s="6" t="s">
        <v>39</v>
      </c>
      <c r="B16" s="11">
        <f>B14*B13</f>
        <v>0</v>
      </c>
      <c r="C16" s="11">
        <f t="shared" ref="C16:M16" si="7">C14*C13</f>
        <v>-128.304</v>
      </c>
      <c r="D16" s="11">
        <f t="shared" si="7"/>
        <v>23.16599999999999</v>
      </c>
      <c r="E16" s="11">
        <f t="shared" si="7"/>
        <v>-190.512</v>
      </c>
      <c r="F16" s="11">
        <f t="shared" si="7"/>
        <v>-48.437999999999953</v>
      </c>
      <c r="G16" s="11">
        <f t="shared" si="7"/>
        <v>-594.86400000000003</v>
      </c>
      <c r="H16" s="11">
        <f t="shared" si="7"/>
        <v>155.8439999999998</v>
      </c>
      <c r="I16" s="11">
        <f t="shared" si="7"/>
        <v>-190.51200000000006</v>
      </c>
      <c r="J16" s="11">
        <f t="shared" si="7"/>
        <v>-682.66800000000001</v>
      </c>
      <c r="K16" s="11">
        <f t="shared" si="7"/>
        <v>0</v>
      </c>
      <c r="L16" s="11">
        <f t="shared" si="7"/>
        <v>16.038</v>
      </c>
      <c r="M16" s="11">
        <f t="shared" si="7"/>
        <v>0</v>
      </c>
      <c r="N16" s="12">
        <f>SUM(B16:M16)</f>
        <v>-1640.2500000000002</v>
      </c>
    </row>
    <row r="18" spans="1:22" x14ac:dyDescent="0.2">
      <c r="A18" s="6" t="s">
        <v>12</v>
      </c>
      <c r="B18" s="3">
        <f>N15/N14</f>
        <v>13.312893982808024</v>
      </c>
      <c r="E18" s="7" t="s">
        <v>61</v>
      </c>
      <c r="H18" s="6" t="s">
        <v>60</v>
      </c>
      <c r="I18" s="3">
        <f>B18-F19</f>
        <v>12.538893982808023</v>
      </c>
      <c r="J18" s="3">
        <f>B18+F19</f>
        <v>14.086893982808025</v>
      </c>
      <c r="L18" s="3">
        <f>B18</f>
        <v>13.312893982808024</v>
      </c>
      <c r="M18" s="3">
        <f>B18</f>
        <v>13.312893982808024</v>
      </c>
    </row>
    <row r="19" spans="1:22" x14ac:dyDescent="0.2">
      <c r="A19" s="6" t="s">
        <v>13</v>
      </c>
      <c r="B19" s="3">
        <f>N16/N14</f>
        <v>5.8022922636103162</v>
      </c>
      <c r="E19" s="29">
        <v>0.03</v>
      </c>
      <c r="F19" s="1">
        <f>E19*MAX(B24:B25)</f>
        <v>0.77400000000000002</v>
      </c>
      <c r="I19" s="3">
        <f>B19</f>
        <v>5.8022922636103162</v>
      </c>
      <c r="J19" s="3">
        <f>B19</f>
        <v>5.8022922636103162</v>
      </c>
      <c r="L19" s="3">
        <f>B19-F19</f>
        <v>5.0282922636103162</v>
      </c>
      <c r="M19" s="3">
        <f>B19+F19</f>
        <v>6.5762922636103163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</v>
      </c>
      <c r="C22" s="6" t="s">
        <v>48</v>
      </c>
      <c r="D22" s="3">
        <f>MAX(Dati!B8:M8)</f>
        <v>25.8</v>
      </c>
      <c r="G22" s="7" t="s">
        <v>40</v>
      </c>
    </row>
    <row r="23" spans="1:22" x14ac:dyDescent="0.2">
      <c r="A23" s="6" t="s">
        <v>50</v>
      </c>
      <c r="B23" s="18">
        <f>MIN(Dati!B9:M9)</f>
        <v>0</v>
      </c>
      <c r="C23" s="6" t="s">
        <v>51</v>
      </c>
      <c r="D23" s="3">
        <f>MAX(Dati!B9:M9)</f>
        <v>12.6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>
        <f>Dati!J7</f>
        <v>9</v>
      </c>
      <c r="Q23" s="20">
        <f>Dati!K7</f>
        <v>10</v>
      </c>
      <c r="R23" s="20">
        <f>Dati!L7</f>
        <v>11</v>
      </c>
      <c r="S23" s="20">
        <f>Dati!M7</f>
        <v>12</v>
      </c>
    </row>
    <row r="24" spans="1:22" x14ac:dyDescent="0.2">
      <c r="A24" s="6" t="s">
        <v>49</v>
      </c>
      <c r="B24" s="3">
        <f>D22-B22</f>
        <v>25.8</v>
      </c>
      <c r="C24" s="6" t="s">
        <v>53</v>
      </c>
      <c r="D24" s="2">
        <f>V26/B24</f>
        <v>3.4341122962579167E-5</v>
      </c>
      <c r="E24" s="6" t="s">
        <v>55</v>
      </c>
      <c r="G24" s="5" t="s">
        <v>14</v>
      </c>
      <c r="H24" s="21">
        <f>Dati!B8-$B$18</f>
        <v>-13.312893982808024</v>
      </c>
      <c r="I24" s="21">
        <f>Dati!C8-$B$18</f>
        <v>-13.312893982808024</v>
      </c>
      <c r="J24" s="21">
        <f>Dati!D8-$B$18</f>
        <v>-10.012893982808023</v>
      </c>
      <c r="K24" s="21">
        <f>IF(K23&lt;=$E$3,Dati!E8-$B$18,"")</f>
        <v>-10.012893982808023</v>
      </c>
      <c r="L24" s="21">
        <f>IF(L23&lt;=$E$3,Dati!F8-$B$18,"")</f>
        <v>-6.4128939828080238</v>
      </c>
      <c r="M24" s="21">
        <f>IF(M23&lt;=$E$3,Dati!G8-$B$18,"")</f>
        <v>-6.4128939828080238</v>
      </c>
      <c r="N24" s="21">
        <f>IF(N23&lt;=$E$3,Dati!H8-$B$18,"")</f>
        <v>8.8871060171919751</v>
      </c>
      <c r="O24" s="21">
        <f>IF(O23&lt;=$E$3,Dati!I8-$B$18,"")</f>
        <v>8.8871060171919751</v>
      </c>
      <c r="P24" s="21">
        <f>IF(P23&lt;=$E$3,Dati!J8-$B$18,"")</f>
        <v>12.487106017191977</v>
      </c>
      <c r="Q24" s="21">
        <f>IF(Q23&lt;=$E$3,Dati!K8-$B$18,"")</f>
        <v>12.487106017191977</v>
      </c>
      <c r="R24" s="21">
        <f>IF(R23&lt;=$E$3,Dati!L8-$B$18,"")</f>
        <v>-10.012893982808023</v>
      </c>
      <c r="S24" s="21">
        <f>IF(S23&lt;=$E$3,Dati!M8-$B$18,"")</f>
        <v>-10.012893982808023</v>
      </c>
    </row>
    <row r="25" spans="1:22" x14ac:dyDescent="0.2">
      <c r="A25" s="6" t="s">
        <v>52</v>
      </c>
      <c r="B25" s="3">
        <f>D23-B23</f>
        <v>12.6</v>
      </c>
      <c r="C25" s="6" t="s">
        <v>54</v>
      </c>
      <c r="D25" s="2">
        <f>V27/B25</f>
        <v>1.3514288200435504E-5</v>
      </c>
      <c r="E25" s="2">
        <f>MAX(V26:V27)/MAX(B24:B25)</f>
        <v>3.4341122962579167E-5</v>
      </c>
      <c r="G25" s="5" t="s">
        <v>15</v>
      </c>
      <c r="H25" s="21">
        <f>Dati!B9-$B$19</f>
        <v>-0.40229226361031589</v>
      </c>
      <c r="I25" s="21">
        <f>Dati!C9-$B$19</f>
        <v>4.9977077363896845</v>
      </c>
      <c r="J25" s="21">
        <f>Dati!D9-$B$19</f>
        <v>4.9977077363896845</v>
      </c>
      <c r="K25" s="21">
        <f>IF(K23&lt;=$E$3,Dati!E9-$B$19,"")</f>
        <v>6.7977077363896834</v>
      </c>
      <c r="L25" s="21">
        <f>IF(L23&lt;=$E$3,Dati!F9-$B$19,"")</f>
        <v>6.7977077363896834</v>
      </c>
      <c r="M25" s="21">
        <f>IF(M23&lt;=$E$3,Dati!G9-$B$19,"")</f>
        <v>4.9977077363896845</v>
      </c>
      <c r="N25" s="21">
        <f>IF(N23&lt;=$E$3,Dati!H9-$B$19,"")</f>
        <v>4.9977077363896845</v>
      </c>
      <c r="O25" s="21">
        <f>IF(O23&lt;=$E$3,Dati!I9-$B$19,"")</f>
        <v>6.7977077363896834</v>
      </c>
      <c r="P25" s="21">
        <f>IF(P23&lt;=$E$3,Dati!J9-$B$19,"")</f>
        <v>6.7977077363896834</v>
      </c>
      <c r="Q25" s="21">
        <f>IF(Q23&lt;=$E$3,Dati!K9-$B$19,"")</f>
        <v>-5.8022922636103162</v>
      </c>
      <c r="R25" s="21">
        <f>IF(R23&lt;=$E$3,Dati!L9-$B$19,"")</f>
        <v>-5.8022922636103162</v>
      </c>
      <c r="S25" s="21">
        <f>IF(S23&lt;=$E$3,Dati!M9-$B$19,"")</f>
        <v>-0.40229226361031589</v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13.318970878519361</v>
      </c>
      <c r="I26" s="21">
        <f>SQRT(I24^2+I25^2)</f>
        <v>14.220064304209577</v>
      </c>
      <c r="J26" s="21">
        <f>SQRT(J24^2+J25^2)</f>
        <v>11.19085021476574</v>
      </c>
      <c r="K26" s="21">
        <f>IF(K23&lt;=$E$3,SQRT(K24^2+K25^2),"")</f>
        <v>12.102350035440443</v>
      </c>
      <c r="L26" s="21">
        <f t="shared" ref="L26:R26" si="8">IF(L23&lt;=$E$3,SQRT(L24^2+L25^2),"")</f>
        <v>9.3452683056243764</v>
      </c>
      <c r="M26" s="21">
        <f t="shared" si="8"/>
        <v>8.1303315955196229</v>
      </c>
      <c r="N26" s="21">
        <f t="shared" si="8"/>
        <v>10.195966652514077</v>
      </c>
      <c r="O26" s="21">
        <f t="shared" si="8"/>
        <v>11.188810653066838</v>
      </c>
      <c r="P26" s="21">
        <f t="shared" si="8"/>
        <v>14.217476820939931</v>
      </c>
      <c r="Q26" s="21">
        <f t="shared" si="8"/>
        <v>13.769328676335103</v>
      </c>
      <c r="R26" s="21">
        <f t="shared" si="8"/>
        <v>11.572581450277429</v>
      </c>
      <c r="S26" s="21">
        <f>IF(S23&lt;=$E$3,SQRT(S24^2+S25^2),"")</f>
        <v>10.02097225703743</v>
      </c>
      <c r="T26" s="2"/>
      <c r="U26" s="18" t="s">
        <v>7</v>
      </c>
      <c r="V26" s="2">
        <f>MAX(V30,V33,V36,V39,V42,V45,V48,V51,V54,V57,)</f>
        <v>8.8600097243454246E-4</v>
      </c>
    </row>
    <row r="27" spans="1:22" x14ac:dyDescent="0.2">
      <c r="G27" s="5" t="s">
        <v>16</v>
      </c>
      <c r="H27" s="22">
        <f>ATAN2(H24,H25)</f>
        <v>-3.1113836035395153</v>
      </c>
      <c r="I27" s="22">
        <f>ATAN2(I24,I25)</f>
        <v>2.7824682281042961</v>
      </c>
      <c r="J27" s="22">
        <f>ATAN2(J24,J25)</f>
        <v>2.6786435284217149</v>
      </c>
      <c r="K27" s="22">
        <f>IF(K23&lt;=$E$3,ATAN2(K24,K25),"")</f>
        <v>2.5451717123720758</v>
      </c>
      <c r="L27" s="22">
        <f t="shared" ref="L27:R27" si="9">IF(L23&lt;=$E$3,ATAN2(L24,L25),"")</f>
        <v>2.327073563080527</v>
      </c>
      <c r="M27" s="22">
        <f t="shared" si="9"/>
        <v>2.4795881932568822</v>
      </c>
      <c r="N27" s="22">
        <f t="shared" si="9"/>
        <v>0.51227923947148502</v>
      </c>
      <c r="O27" s="22">
        <f t="shared" si="9"/>
        <v>0.65296629355634683</v>
      </c>
      <c r="P27" s="22">
        <f t="shared" si="9"/>
        <v>0.4985167716033701</v>
      </c>
      <c r="Q27" s="22">
        <f t="shared" si="9"/>
        <v>-0.43498029474887617</v>
      </c>
      <c r="R27" s="22">
        <f t="shared" si="9"/>
        <v>-2.6163965233299646</v>
      </c>
      <c r="S27" s="22">
        <f>IF(S23&lt;=$E$3,ATAN2(S24,S25),"")</f>
        <v>-3.1014368294820387</v>
      </c>
      <c r="T27" s="2"/>
      <c r="U27" s="19" t="s">
        <v>8</v>
      </c>
      <c r="V27" s="2">
        <f>MAX(V31,V34,V37,V40,V43,V46,V49,V52,V55,V58,)</f>
        <v>1.7028003132548735E-4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5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5</v>
      </c>
      <c r="B30" s="4" t="s">
        <v>0</v>
      </c>
      <c r="C30" s="14">
        <f>HLOOKUP(Elab!$C$29,'Elab-Modi'!$C$5:$AF$35,2)</f>
        <v>-0.88600000000000001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-8.1860696325513824E-4</v>
      </c>
      <c r="I30" s="2">
        <f t="shared" ref="I30:S30" si="10">IF(OR(I$23="",$C30=""),"",I$26*(COS(I$27+$F31)-COS(I$27))+$D31)</f>
        <v>-7.5121496325591649E-4</v>
      </c>
      <c r="J30" s="2">
        <f t="shared" si="10"/>
        <v>-7.5121522024500546E-4</v>
      </c>
      <c r="K30" s="2">
        <f t="shared" si="10"/>
        <v>-7.2875122024613982E-4</v>
      </c>
      <c r="L30" s="2">
        <f t="shared" si="10"/>
        <v>-7.2875150059588975E-4</v>
      </c>
      <c r="M30" s="2">
        <f t="shared" si="10"/>
        <v>-7.5121550059584739E-4</v>
      </c>
      <c r="N30" s="2">
        <f t="shared" si="10"/>
        <v>-7.5121669208615387E-4</v>
      </c>
      <c r="O30" s="2">
        <f t="shared" si="10"/>
        <v>-7.2875269208848975E-4</v>
      </c>
      <c r="P30" s="2">
        <f t="shared" si="10"/>
        <v>-7.2875297243854282E-4</v>
      </c>
      <c r="Q30" s="2">
        <f t="shared" si="10"/>
        <v>-8.8600097243454246E-4</v>
      </c>
      <c r="R30" s="2">
        <f t="shared" si="10"/>
        <v>-8.8599922024299067E-4</v>
      </c>
      <c r="S30" s="2">
        <f t="shared" si="10"/>
        <v>-8.1860722024288931E-4</v>
      </c>
      <c r="T30" s="2">
        <f>MIN(H30:S30)</f>
        <v>-8.8600097243454246E-4</v>
      </c>
      <c r="U30" s="2">
        <f>MAX(H30:S30)</f>
        <v>-7.2875122024613982E-4</v>
      </c>
      <c r="V30" s="2">
        <f>MAX(-T30,U30)</f>
        <v>8.8600097243454246E-4</v>
      </c>
    </row>
    <row r="31" spans="1:22" x14ac:dyDescent="0.2">
      <c r="B31" s="4" t="s">
        <v>1</v>
      </c>
      <c r="C31" s="14">
        <f>HLOOKUP(Elab!$C$29,'Elab-Modi'!$C$5:$AF$35,3)</f>
        <v>0.17027999999999999</v>
      </c>
      <c r="D31" s="14">
        <f>(C30-C32*$B$19)*$F$28</f>
        <v>-8.1358739255014327E-4</v>
      </c>
      <c r="E31" s="14">
        <f>(C31+C32*$B$18)*$F$28</f>
        <v>4.135083094555847E-6</v>
      </c>
      <c r="F31" s="14">
        <f>C32*$F$28</f>
        <v>-1.2480000000000001E-5</v>
      </c>
      <c r="G31" s="1" t="str">
        <f>IF(C30="","","Vy")</f>
        <v>Vy</v>
      </c>
      <c r="H31" s="2">
        <f>IF(OR(H$23="",$C30=""),"",H$26*(SIN(H$27+$F31)-SIN(H$27))+$E31)</f>
        <v>1.7028003132548735E-4</v>
      </c>
      <c r="I31" s="2">
        <f t="shared" ref="I31:S31" si="11">IF(OR(I$23="",$C30=""),"",I$26*(SIN(I$27+$F31)-SIN(I$27))+$E31)</f>
        <v>1.7027961079947912E-4</v>
      </c>
      <c r="J31" s="2">
        <f t="shared" si="11"/>
        <v>1.2909561080030212E-4</v>
      </c>
      <c r="K31" s="2">
        <f t="shared" si="11"/>
        <v>1.290954706249792E-4</v>
      </c>
      <c r="L31" s="2">
        <f t="shared" si="11"/>
        <v>8.4167470625746879E-5</v>
      </c>
      <c r="M31" s="2">
        <f t="shared" si="11"/>
        <v>8.4167610800359139E-5</v>
      </c>
      <c r="N31" s="2">
        <f t="shared" si="11"/>
        <v>-1.0677638919469996E-4</v>
      </c>
      <c r="O31" s="2">
        <f t="shared" si="11"/>
        <v>-1.0677652936943977E-4</v>
      </c>
      <c r="P31" s="2">
        <f t="shared" si="11"/>
        <v>-1.5170452936843557E-4</v>
      </c>
      <c r="Q31" s="2">
        <f t="shared" si="11"/>
        <v>-1.5170354814034208E-4</v>
      </c>
      <c r="R31" s="2">
        <f t="shared" si="11"/>
        <v>1.2909645185150062E-4</v>
      </c>
      <c r="S31" s="2">
        <f t="shared" si="11"/>
        <v>1.2909603132624849E-4</v>
      </c>
      <c r="T31" s="2">
        <f>MIN(H31:S31)</f>
        <v>-1.5170452936843557E-4</v>
      </c>
      <c r="U31" s="2">
        <f>MAX(H31:S31)</f>
        <v>1.7028003132548735E-4</v>
      </c>
      <c r="V31" s="2">
        <f>MAX(-T31,U31)</f>
        <v>1.7028003132548735E-4</v>
      </c>
    </row>
    <row r="32" spans="1:22" x14ac:dyDescent="0.2">
      <c r="A32" s="13"/>
      <c r="B32" s="13" t="s">
        <v>2</v>
      </c>
      <c r="C32" s="15">
        <f>HLOOKUP(Elab!$C$29,'Elab-Modi'!$C$5:$AF$35,4)</f>
        <v>-1.248E-2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-7.8520000000000006E-2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-6.5824563209127161E-5</v>
      </c>
      <c r="I33" s="2">
        <f t="shared" si="12"/>
        <v>-5.3129163208368165E-5</v>
      </c>
      <c r="J33" s="2">
        <f t="shared" si="12"/>
        <v>-5.3129172328208777E-5</v>
      </c>
      <c r="K33" s="2">
        <f t="shared" si="12"/>
        <v>-4.8897372328838777E-5</v>
      </c>
      <c r="L33" s="2">
        <f t="shared" si="12"/>
        <v>-4.8897382277239651E-5</v>
      </c>
      <c r="M33" s="2">
        <f t="shared" si="12"/>
        <v>-5.312918227785626E-5</v>
      </c>
      <c r="N33" s="2">
        <f t="shared" si="12"/>
        <v>-5.3129224559937491E-5</v>
      </c>
      <c r="O33" s="2">
        <f t="shared" si="12"/>
        <v>-4.8897424560531984E-5</v>
      </c>
      <c r="P33" s="2">
        <f t="shared" si="12"/>
        <v>-4.8897434509594899E-5</v>
      </c>
      <c r="Q33" s="2">
        <f t="shared" si="12"/>
        <v>-7.8520034509498138E-5</v>
      </c>
      <c r="R33" s="2">
        <f t="shared" si="12"/>
        <v>-7.8519972328783906E-5</v>
      </c>
      <c r="S33" s="2">
        <f t="shared" si="12"/>
        <v>-6.5824572328156166E-5</v>
      </c>
      <c r="T33" s="2">
        <f>MIN(H33:S33)</f>
        <v>-7.8520034509498138E-5</v>
      </c>
      <c r="U33" s="2">
        <f>MAX(H33:S33)</f>
        <v>-4.8897372328838777E-5</v>
      </c>
      <c r="V33" s="2">
        <f>MAX(-T33,U33)</f>
        <v>7.8520034509498138E-5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3.1933999999999997E-2</v>
      </c>
      <c r="D34" s="14">
        <f>IF(C33="","",(C33-C35*$B$19)*$F$28)</f>
        <v>-6.4878810888252146E-5</v>
      </c>
      <c r="E34" s="14">
        <f>IF(C33="","",(C34+C35*$B$18)*$F$28)</f>
        <v>6.3538624641833185E-7</v>
      </c>
      <c r="F34" s="14">
        <f>IF(C33="","",C35*$F$28)</f>
        <v>-2.351E-6</v>
      </c>
      <c r="G34" s="1" t="str">
        <f>IF(C33="","","Vy")</f>
        <v>Vy</v>
      </c>
      <c r="H34" s="2">
        <f t="shared" ref="H34:S34" si="13">IF(OR(H$23="",$C33=""),"",H$26*(SIN(H$27+$F34)-SIN(H$27))+$E34)</f>
        <v>3.1934001111907844E-5</v>
      </c>
      <c r="I34" s="2">
        <f t="shared" si="13"/>
        <v>3.1933986189022908E-5</v>
      </c>
      <c r="J34" s="2">
        <f t="shared" si="13"/>
        <v>2.4175686188198027E-5</v>
      </c>
      <c r="K34" s="2">
        <f t="shared" si="13"/>
        <v>2.4175681213117099E-5</v>
      </c>
      <c r="L34" s="2">
        <f t="shared" si="13"/>
        <v>1.5712081214563691E-5</v>
      </c>
      <c r="M34" s="2">
        <f t="shared" si="13"/>
        <v>1.5712086188038929E-5</v>
      </c>
      <c r="N34" s="2">
        <f t="shared" si="13"/>
        <v>-2.0258213812028708E-5</v>
      </c>
      <c r="O34" s="2">
        <f t="shared" si="13"/>
        <v>-2.0258218785399016E-5</v>
      </c>
      <c r="P34" s="2">
        <f t="shared" si="13"/>
        <v>-2.8721818786063789E-5</v>
      </c>
      <c r="Q34" s="2">
        <f t="shared" si="13"/>
        <v>-2.8721783964260508E-5</v>
      </c>
      <c r="R34" s="2">
        <f t="shared" si="13"/>
        <v>2.4175716034634523E-5</v>
      </c>
      <c r="S34" s="2">
        <f t="shared" si="13"/>
        <v>2.4175701111833752E-5</v>
      </c>
      <c r="T34" s="2">
        <f>MIN(H34:S34)</f>
        <v>-2.8721818786063789E-5</v>
      </c>
      <c r="U34" s="2">
        <f>MAX(H34:S34)</f>
        <v>3.1934001111907844E-5</v>
      </c>
      <c r="V34" s="2">
        <f>MAX(-T34,U34)</f>
        <v>3.1934001111907844E-5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-2.3509999999999998E-3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0.54739000000000004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5.1837275220896527E-4</v>
      </c>
      <c r="I36" s="2">
        <f t="shared" si="14"/>
        <v>4.8935531220975156E-4</v>
      </c>
      <c r="J36" s="2">
        <f t="shared" si="14"/>
        <v>4.8935526456359328E-4</v>
      </c>
      <c r="K36" s="2">
        <f t="shared" si="14"/>
        <v>4.7968278456360678E-4</v>
      </c>
      <c r="L36" s="2">
        <f t="shared" si="14"/>
        <v>4.7968273258733947E-4</v>
      </c>
      <c r="M36" s="2">
        <f t="shared" si="14"/>
        <v>4.8935521258757907E-4</v>
      </c>
      <c r="N36" s="2">
        <f t="shared" si="14"/>
        <v>4.8935499169105003E-4</v>
      </c>
      <c r="O36" s="2">
        <f t="shared" si="14"/>
        <v>4.7968251169019813E-4</v>
      </c>
      <c r="P36" s="2">
        <f t="shared" si="14"/>
        <v>4.7968245971269737E-4</v>
      </c>
      <c r="Q36" s="2">
        <f t="shared" si="14"/>
        <v>5.4738981971423563E-4</v>
      </c>
      <c r="R36" s="2">
        <f t="shared" si="14"/>
        <v>5.4739014456443467E-4</v>
      </c>
      <c r="S36" s="2">
        <f t="shared" si="14"/>
        <v>5.1837270456457489E-4</v>
      </c>
      <c r="T36" s="2">
        <f>MIN(H36:S36)</f>
        <v>4.7968245971269737E-4</v>
      </c>
      <c r="U36" s="2">
        <f>MAX(H36:S36)</f>
        <v>5.4739014456443467E-4</v>
      </c>
      <c r="V36" s="2">
        <f>MAX(-T36,U36)</f>
        <v>5.4739014456443467E-4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-7.3410000000000003E-2</v>
      </c>
      <c r="D37" s="14">
        <f>IF(C36="","",(C36-C38*$B$19)*$F$28)</f>
        <v>5.1621080229226368E-4</v>
      </c>
      <c r="E37" s="14">
        <f>IF(C36="","",(C37+C38*$B$18)*$F$28)</f>
        <v>-1.8718328939828083E-6</v>
      </c>
      <c r="F37" s="14">
        <f>IF(C36="","",C38*$F$28)</f>
        <v>5.3736000000000005E-6</v>
      </c>
      <c r="G37" s="1" t="str">
        <f>IF(C36="","","Vy")</f>
        <v>Vy</v>
      </c>
      <c r="H37" s="2">
        <f t="shared" ref="H37:S37" si="15">IF(OR(H$23="",$C36=""),"",H$26*(SIN(H$27+$F37)-SIN(H$27))+$E37)</f>
        <v>-7.3409994192508878E-5</v>
      </c>
      <c r="I37" s="2">
        <f t="shared" si="15"/>
        <v>-7.3410072156637358E-5</v>
      </c>
      <c r="J37" s="2">
        <f t="shared" si="15"/>
        <v>-5.5677192156797028E-5</v>
      </c>
      <c r="K37" s="2">
        <f t="shared" si="15"/>
        <v>-5.5677218144349063E-5</v>
      </c>
      <c r="L37" s="2">
        <f t="shared" si="15"/>
        <v>-3.6332258144417772E-5</v>
      </c>
      <c r="M37" s="2">
        <f t="shared" si="15"/>
        <v>-3.6332232156823141E-5</v>
      </c>
      <c r="N37" s="2">
        <f t="shared" si="15"/>
        <v>4.588384784364995E-5</v>
      </c>
      <c r="O37" s="2">
        <f t="shared" si="15"/>
        <v>4.588382185568526E-5</v>
      </c>
      <c r="P37" s="2">
        <f t="shared" si="15"/>
        <v>6.5228781856148176E-5</v>
      </c>
      <c r="Q37" s="2">
        <f t="shared" si="15"/>
        <v>6.5228963772429084E-5</v>
      </c>
      <c r="R37" s="2">
        <f t="shared" si="15"/>
        <v>-5.5677036229076633E-5</v>
      </c>
      <c r="S37" s="2">
        <f t="shared" si="15"/>
        <v>-5.567711419236327E-5</v>
      </c>
      <c r="T37" s="2">
        <f>MIN(H37:S37)</f>
        <v>-7.3410072156637358E-5</v>
      </c>
      <c r="U37" s="2">
        <f>MAX(H37:S37)</f>
        <v>6.5228963772429084E-5</v>
      </c>
      <c r="V37" s="2">
        <f>MAX(-T37,U37)</f>
        <v>7.3410072156637358E-5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5.3736000000000001E-3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0.71753999999999996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6.768783774262476E-4</v>
      </c>
      <c r="I39" s="2">
        <f t="shared" si="16"/>
        <v>6.3621637742772774E-4</v>
      </c>
      <c r="J39" s="2">
        <f t="shared" si="16"/>
        <v>6.3621628387112083E-4</v>
      </c>
      <c r="K39" s="2">
        <f t="shared" si="16"/>
        <v>6.2266228387084345E-4</v>
      </c>
      <c r="L39" s="2">
        <f t="shared" si="16"/>
        <v>6.2266218180904195E-4</v>
      </c>
      <c r="M39" s="2">
        <f t="shared" si="16"/>
        <v>6.3621618180880444E-4</v>
      </c>
      <c r="N39" s="2">
        <f t="shared" si="16"/>
        <v>6.3621574804723167E-4</v>
      </c>
      <c r="O39" s="2">
        <f t="shared" si="16"/>
        <v>6.2266174804626051E-4</v>
      </c>
      <c r="P39" s="2">
        <f t="shared" si="16"/>
        <v>6.2266164598567797E-4</v>
      </c>
      <c r="Q39" s="2">
        <f t="shared" si="16"/>
        <v>7.1753964598463905E-4</v>
      </c>
      <c r="R39" s="2">
        <f t="shared" si="16"/>
        <v>7.1754028386914154E-4</v>
      </c>
      <c r="S39" s="2">
        <f t="shared" si="16"/>
        <v>6.7687828387031344E-4</v>
      </c>
      <c r="T39" s="2">
        <f>MIN(H39:S39)</f>
        <v>6.2266164598567797E-4</v>
      </c>
      <c r="U39" s="2">
        <f>MAX(H39:S39)</f>
        <v>7.1754028386914154E-4</v>
      </c>
      <c r="V39" s="2">
        <f>MAX(-T39,U39)</f>
        <v>7.1754028386914154E-4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-0.1026</v>
      </c>
      <c r="D40" s="14">
        <f>IF(C39="","",(C39-C41*$B$19)*$F$28)</f>
        <v>6.738487392550143E-4</v>
      </c>
      <c r="E40" s="14">
        <f>IF(C39="","",(C40+C41*$B$18)*$F$28)</f>
        <v>-2.3539083094555741E-6</v>
      </c>
      <c r="F40" s="14">
        <f>IF(C39="","",C41*$F$28)</f>
        <v>7.5300000000000007E-6</v>
      </c>
      <c r="G40" s="1" t="str">
        <f>IF(C39="","","Vy")</f>
        <v>Vy</v>
      </c>
      <c r="H40" s="2">
        <f t="shared" ref="H40:S40" si="17">IF(OR(H$23="",$C39=""),"",H$26*(SIN(H$27+$F40)-SIN(H$27))+$E40)</f>
        <v>-1.0259998859362664E-4</v>
      </c>
      <c r="I40" s="2">
        <f t="shared" si="17"/>
        <v>-1.0260014168548188E-4</v>
      </c>
      <c r="J40" s="2">
        <f t="shared" si="17"/>
        <v>-7.7751141686788205E-5</v>
      </c>
      <c r="K40" s="2">
        <f t="shared" si="17"/>
        <v>-7.77511927181323E-5</v>
      </c>
      <c r="L40" s="2">
        <f t="shared" si="17"/>
        <v>-5.0643192717501492E-5</v>
      </c>
      <c r="M40" s="2">
        <f t="shared" si="17"/>
        <v>-5.0643141686583015E-5</v>
      </c>
      <c r="N40" s="2">
        <f t="shared" si="17"/>
        <v>6.4565858311488794E-5</v>
      </c>
      <c r="O40" s="2">
        <f t="shared" si="17"/>
        <v>6.4565807282009838E-5</v>
      </c>
      <c r="P40" s="2">
        <f t="shared" si="17"/>
        <v>9.167380728080457E-5</v>
      </c>
      <c r="Q40" s="2">
        <f t="shared" si="17"/>
        <v>9.1674164497084618E-5</v>
      </c>
      <c r="R40" s="2">
        <f t="shared" si="17"/>
        <v>-7.7750835502668264E-5</v>
      </c>
      <c r="S40" s="2">
        <f t="shared" si="17"/>
        <v>-7.7750988593873599E-5</v>
      </c>
      <c r="T40" s="2">
        <f>MIN(H40:S40)</f>
        <v>-1.0260014168548188E-4</v>
      </c>
      <c r="U40" s="2">
        <f>MAX(H40:S40)</f>
        <v>9.1674164497084618E-5</v>
      </c>
      <c r="V40" s="2">
        <f>MAX(-T40,U40)</f>
        <v>1.0260014168548188E-4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7.5300000000000002E-3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0.46722999999999998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4.4087113860328701E-4</v>
      </c>
      <c r="I42" s="2">
        <f t="shared" si="18"/>
        <v>4.1451211860290394E-4</v>
      </c>
      <c r="J42" s="2">
        <f t="shared" si="18"/>
        <v>4.1451207928790943E-4</v>
      </c>
      <c r="K42" s="2">
        <f t="shared" si="18"/>
        <v>4.0572573928819621E-4</v>
      </c>
      <c r="L42" s="2">
        <f t="shared" si="18"/>
        <v>4.0572569639889586E-4</v>
      </c>
      <c r="M42" s="2">
        <f t="shared" si="18"/>
        <v>4.1451203639883779E-4</v>
      </c>
      <c r="N42" s="2">
        <f t="shared" si="18"/>
        <v>4.1451185412396264E-4</v>
      </c>
      <c r="O42" s="2">
        <f t="shared" si="18"/>
        <v>4.057255141231643E-4</v>
      </c>
      <c r="P42" s="2">
        <f t="shared" si="18"/>
        <v>4.0572547123375136E-4</v>
      </c>
      <c r="Q42" s="2">
        <f t="shared" si="18"/>
        <v>4.672298512336632E-4</v>
      </c>
      <c r="R42" s="2">
        <f t="shared" si="18"/>
        <v>4.6723011928936903E-4</v>
      </c>
      <c r="S42" s="2">
        <f t="shared" si="18"/>
        <v>4.4087109928985072E-4</v>
      </c>
      <c r="T42" s="2">
        <f>MIN(H42:S42)</f>
        <v>4.0572547123375136E-4</v>
      </c>
      <c r="U42" s="2">
        <f>MAX(H42:S42)</f>
        <v>4.6723011928936903E-4</v>
      </c>
      <c r="V42" s="2">
        <f>MAX(-T42,U42)</f>
        <v>4.6723011928936903E-4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-6.633E-2</v>
      </c>
      <c r="D43" s="14">
        <f>IF(C42="","",(C42-C44*$B$19)*$F$28)</f>
        <v>4.3890727077363896E-4</v>
      </c>
      <c r="E43" s="14">
        <f>IF(C42="","",(C43+C44*$B$18)*$F$28)</f>
        <v>-1.3457706017191984E-6</v>
      </c>
      <c r="F43" s="14">
        <f>IF(C42="","",C44*$F$28)</f>
        <v>4.8813000000000002E-6</v>
      </c>
      <c r="G43" s="1" t="str">
        <f>IF(C42="","","Vy")</f>
        <v>Vy</v>
      </c>
      <c r="H43" s="2">
        <f t="shared" ref="H43:S43" si="19">IF(OR(H$23="",$C42=""),"",H$26*(SIN(H$27+$F43)-SIN(H$27))+$E43)</f>
        <v>-6.6329995209738805E-5</v>
      </c>
      <c r="I43" s="2">
        <f t="shared" si="19"/>
        <v>-6.6330059542423181E-5</v>
      </c>
      <c r="J43" s="2">
        <f t="shared" si="19"/>
        <v>-5.0221769542496687E-5</v>
      </c>
      <c r="K43" s="2">
        <f t="shared" si="19"/>
        <v>-5.0221790986470583E-5</v>
      </c>
      <c r="L43" s="2">
        <f t="shared" si="19"/>
        <v>-3.2649110985970921E-5</v>
      </c>
      <c r="M43" s="2">
        <f t="shared" si="19"/>
        <v>-3.2649089541789123E-5</v>
      </c>
      <c r="N43" s="2">
        <f t="shared" si="19"/>
        <v>4.2034800459168476E-5</v>
      </c>
      <c r="O43" s="2">
        <f t="shared" si="19"/>
        <v>4.2034779015865519E-5</v>
      </c>
      <c r="P43" s="2">
        <f t="shared" si="19"/>
        <v>5.960745901503746E-5</v>
      </c>
      <c r="Q43" s="2">
        <f t="shared" si="19"/>
        <v>5.9607609126149206E-5</v>
      </c>
      <c r="R43" s="2">
        <f t="shared" si="19"/>
        <v>-5.0221640877032533E-5</v>
      </c>
      <c r="S43" s="2">
        <f t="shared" si="19"/>
        <v>-5.022170520909129E-5</v>
      </c>
      <c r="T43" s="2">
        <f>MIN(H43:S43)</f>
        <v>-6.6330059542423181E-5</v>
      </c>
      <c r="U43" s="2">
        <f>MAX(H43:S43)</f>
        <v>5.9607609126149206E-5</v>
      </c>
      <c r="V43" s="2">
        <f>MAX(-T43,U43)</f>
        <v>6.6330059542423181E-5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4.8812999999999999E-3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2.9119606865788286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5</v>
      </c>
      <c r="B64" s="1" t="str">
        <f>IF(B30="","",B30)</f>
        <v>Vx</v>
      </c>
      <c r="C64" s="14">
        <f>IF(C30="","",C30)</f>
        <v>-0.88600000000000001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-2.3749609746501923</v>
      </c>
      <c r="I64" s="2">
        <f t="shared" ref="I64:S64" si="30">IF(OR(I$23="",$C64=""),"",I$26*(COS(I$27+$F65)-COS(I$27))+$D65)</f>
        <v>-2.178761313133867</v>
      </c>
      <c r="J64" s="2">
        <f t="shared" si="30"/>
        <v>-2.1809402082825349</v>
      </c>
      <c r="K64" s="2">
        <f t="shared" si="30"/>
        <v>-2.1155403211104264</v>
      </c>
      <c r="L64" s="2">
        <f t="shared" si="30"/>
        <v>-2.117917297636247</v>
      </c>
      <c r="M64" s="2">
        <f t="shared" si="30"/>
        <v>-2.183317184808355</v>
      </c>
      <c r="N64" s="2">
        <f t="shared" si="30"/>
        <v>-2.1934193350430875</v>
      </c>
      <c r="O64" s="2">
        <f t="shared" si="30"/>
        <v>-2.1280194478709804</v>
      </c>
      <c r="P64" s="2">
        <f t="shared" si="30"/>
        <v>-2.1303964243967997</v>
      </c>
      <c r="Q64" s="2">
        <f t="shared" si="30"/>
        <v>-2.5881956346015591</v>
      </c>
      <c r="R64" s="2">
        <f t="shared" si="30"/>
        <v>-2.5733395313151841</v>
      </c>
      <c r="S64" s="2">
        <f t="shared" si="30"/>
        <v>-2.3771398697988588</v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0.17027999999999999</v>
      </c>
      <c r="D65" s="2">
        <f>(C30-C32*$B$19)*$F$62</f>
        <v>-2.3691345022021939</v>
      </c>
      <c r="E65" s="2">
        <f>(C31+C32*$B$18)*$F$62</f>
        <v>1.2041199407083352E-2</v>
      </c>
      <c r="F65" s="2">
        <f>C32*$F$62</f>
        <v>-3.6341269368503779E-2</v>
      </c>
      <c r="G65" s="1" t="str">
        <f>IF(G31="","","Vy")</f>
        <v>Vy</v>
      </c>
      <c r="H65" s="2">
        <f>IF(OR(H$23="",$C64=""),"",H$26*(SIN(H$27+$F65)-SIN(H$27))+$E65)</f>
        <v>0.49600780165344072</v>
      </c>
      <c r="I65" s="2">
        <f t="shared" ref="I65:S65" si="32">IF(OR(I$23="",$C64=""),"",I$26*(SIN(I$27+$F65)-SIN(I$27))+$E65)</f>
        <v>0.49244233686471101</v>
      </c>
      <c r="J65" s="2">
        <f t="shared" si="32"/>
        <v>0.37254254371584566</v>
      </c>
      <c r="K65" s="2">
        <f t="shared" si="32"/>
        <v>0.37135405545293526</v>
      </c>
      <c r="L65" s="2">
        <f t="shared" si="32"/>
        <v>0.24055428110871985</v>
      </c>
      <c r="M65" s="2">
        <f t="shared" si="32"/>
        <v>0.24174276937162906</v>
      </c>
      <c r="N65" s="2">
        <f t="shared" si="32"/>
        <v>-0.31415627159129106</v>
      </c>
      <c r="O65" s="2">
        <f t="shared" si="32"/>
        <v>-0.31534475985420013</v>
      </c>
      <c r="P65" s="2">
        <f t="shared" si="32"/>
        <v>-0.44614453419841754</v>
      </c>
      <c r="Q65" s="2">
        <f t="shared" si="32"/>
        <v>-0.43782511635804827</v>
      </c>
      <c r="R65" s="2">
        <f t="shared" si="32"/>
        <v>0.37967347329330486</v>
      </c>
      <c r="S65" s="2">
        <f t="shared" si="32"/>
        <v>0.37610800850457571</v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-1.248E-2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4</v>
      </c>
      <c r="B67" s="1" t="str">
        <f t="shared" si="31"/>
        <v>Vx</v>
      </c>
      <c r="C67" s="14">
        <f t="shared" si="31"/>
        <v>-7.8520000000000006E-2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-0.19136665286394702</v>
      </c>
      <c r="I67" s="2">
        <f t="shared" ref="I67" si="33">IF(OR(I$23="",$C67=""),"",I$26*(COS(I$27+$F68)-COS(I$27))+$D68)</f>
        <v>-0.15439843593609948</v>
      </c>
      <c r="J67" s="2">
        <f t="shared" ref="J67" si="34">IF(OR(J$23="",$C67=""),"",J$26*(COS(J$27+$F68)-COS(J$27))+$D68)</f>
        <v>-0.15447576780768363</v>
      </c>
      <c r="K67" s="2">
        <f t="shared" ref="K67" si="35">IF(OR(K$23="",$C67=""),"",K$26*(COS(K$27+$F68)-COS(K$27))+$D68)</f>
        <v>-0.14215302883173495</v>
      </c>
      <c r="L67" s="2">
        <f t="shared" ref="L67" si="36">IF(OR(L$23="",$C67=""),"",L$26*(COS(L$27+$F68)-COS(L$27))+$D68)</f>
        <v>-0.14223739087346152</v>
      </c>
      <c r="M67" s="2">
        <f t="shared" ref="M67" si="37">IF(OR(M$23="",$C67=""),"",M$26*(COS(M$27+$F68)-COS(M$27))+$D68)</f>
        <v>-0.15456012984941039</v>
      </c>
      <c r="N67" s="2">
        <f t="shared" ref="N67" si="38">IF(OR(N$23="",$C67=""),"",N$26*(COS(N$27+$F68)-COS(N$27))+$D68)</f>
        <v>-0.15491866852674635</v>
      </c>
      <c r="O67" s="2">
        <f t="shared" ref="O67" si="39">IF(OR(O$23="",$C67=""),"",O$26*(COS(O$27+$F68)-COS(O$27))+$D68)</f>
        <v>-0.14259592955079803</v>
      </c>
      <c r="P67" s="2">
        <f t="shared" ref="P67" si="40">IF(OR(P$23="",$C67=""),"",P$26*(COS(P$27+$F68)-COS(P$27))+$D68)</f>
        <v>-0.1426802915925256</v>
      </c>
      <c r="Q67" s="2">
        <f t="shared" ref="Q67" si="41">IF(OR(Q$23="",$C67=""),"",Q$26*(COS(Q$27+$F68)-COS(Q$27))+$D68)</f>
        <v>-0.22893946442416852</v>
      </c>
      <c r="R67" s="2">
        <f t="shared" ref="R67" si="42">IF(OR(R$23="",$C67=""),"",R$26*(COS(R$27+$F68)-COS(R$27))+$D68)</f>
        <v>-0.2284122016633762</v>
      </c>
      <c r="S67" s="2">
        <f t="shared" ref="S67" si="43">IF(OR(S$23="",$C67=""),"",S$26*(COS(S$27+$F68)-COS(S$27))+$D68)</f>
        <v>-0.19144398473552943</v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3.1933999999999997E-2</v>
      </c>
      <c r="D68" s="2">
        <f>IF(C33="","",(C33-C35*$B$19)*$F$62)</f>
        <v>-0.1889245466985727</v>
      </c>
      <c r="E68" s="2">
        <f>IF(C33="","",(C34+C35*$B$18)*$F$62)</f>
        <v>1.8502197703630704E-3</v>
      </c>
      <c r="F68" s="2">
        <f>IF(C33="","",C35*$F$62)</f>
        <v>-6.8460195741468256E-3</v>
      </c>
      <c r="G68" s="1" t="str">
        <f>IF(G34="","","Vy")</f>
        <v>Vy</v>
      </c>
      <c r="H68" s="2">
        <f>IF(OR(H$23="",$C67=""),"",H$26*(SIN(H$27+$F68)-SIN(H$27))+$E68)</f>
        <v>9.2999267916466816E-2</v>
      </c>
      <c r="I68" s="2">
        <f t="shared" ref="I68" si="44">IF(OR(I$23="",$C67=""),"",I$26*(SIN(I$27+$F68)-SIN(I$27))+$E68)</f>
        <v>9.2872724853877472E-2</v>
      </c>
      <c r="J68" s="2">
        <f t="shared" ref="J68" si="45">IF(OR(J$23="",$C67=""),"",J$26*(SIN(J$27+$F68)-SIN(J$27))+$E68)</f>
        <v>7.0281036731304189E-2</v>
      </c>
      <c r="K68" s="2">
        <f t="shared" ref="K68" si="46">IF(OR(K$23="",$C67=""),"",K$26*(SIN(K$27+$F68)-SIN(K$27))+$E68)</f>
        <v>7.0238855710440432E-2</v>
      </c>
      <c r="L68" s="2">
        <f t="shared" ref="L68" si="47">IF(OR(L$23="",$C67=""),"",L$26*(SIN(L$27+$F68)-SIN(L$27))+$E68)</f>
        <v>4.559337775854392E-2</v>
      </c>
      <c r="M68" s="2">
        <f t="shared" ref="M68" si="48">IF(OR(M$23="",$C67=""),"",M$26*(SIN(M$27+$F68)-SIN(M$27))+$E68)</f>
        <v>4.5635558779405928E-2</v>
      </c>
      <c r="N68" s="2">
        <f t="shared" ref="N68" si="49">IF(OR(N$23="",$C67=""),"",N$26*(SIN(N$27+$F68)-SIN(N$27))+$E68)</f>
        <v>-5.9107722516160338E-2</v>
      </c>
      <c r="O68" s="2">
        <f t="shared" ref="O68" si="50">IF(OR(O$23="",$C67=""),"",O$26*(SIN(O$27+$F68)-SIN(O$27))+$E68)</f>
        <v>-5.9149903537022312E-2</v>
      </c>
      <c r="P68" s="2">
        <f t="shared" ref="P68" si="51">IF(OR(P$23="",$C67=""),"",P$26*(SIN(P$27+$F68)-SIN(P$27))+$E68)</f>
        <v>-8.3795381488920365E-2</v>
      </c>
      <c r="Q68" s="2">
        <f t="shared" ref="Q68" si="52">IF(OR(Q$23="",$C67=""),"",Q$26*(SIN(Q$27+$F68)-SIN(Q$27))+$E68)</f>
        <v>-8.3500114342877241E-2</v>
      </c>
      <c r="R68" s="2">
        <f t="shared" ref="R68" si="53">IF(OR(R$23="",$C67=""),"",R$26*(SIN(R$27+$F68)-SIN(R$27))+$E68)</f>
        <v>7.0534122856483264E-2</v>
      </c>
      <c r="S68" s="2">
        <f t="shared" ref="S68" si="54">IF(OR(S$23="",$C67=""),"",S$26*(SIN(S$27+$F68)-SIN(S$27))+$E68)</f>
        <v>7.040757979389406E-2</v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-2.3509999999999998E-3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3</v>
      </c>
      <c r="B70" s="1" t="str">
        <f t="shared" si="31"/>
        <v>Vx</v>
      </c>
      <c r="C70" s="14">
        <f t="shared" si="31"/>
        <v>0.54739000000000004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1.5111100625458307</v>
      </c>
      <c r="I70" s="2">
        <f t="shared" ref="I70" si="55">IF(OR(I$23="",$C70=""),"",I$26*(COS(I$27+$F71)-COS(I$27))+$D71)</f>
        <v>1.4266158662190211</v>
      </c>
      <c r="J70" s="2">
        <f t="shared" ref="J70" si="56">IF(OR(J$23="",$C70=""),"",J$26*(COS(J$27+$F71)-COS(J$27))+$D71)</f>
        <v>1.4262118704952895</v>
      </c>
      <c r="K70" s="2">
        <f t="shared" ref="K70" si="57">IF(OR(K$23="",$C70=""),"",K$26*(COS(K$27+$F71)-COS(K$27))+$D71)</f>
        <v>1.398047138386352</v>
      </c>
      <c r="L70" s="2">
        <f t="shared" ref="L70" si="58">IF(OR(L$23="",$C70=""),"",L$26*(COS(L$27+$F71)-COS(L$27))+$D71)</f>
        <v>1.3976064157786452</v>
      </c>
      <c r="M70" s="2">
        <f t="shared" ref="M70" si="59">IF(OR(M$23="",$C70=""),"",M$26*(COS(M$27+$F71)-COS(M$27))+$D71)</f>
        <v>1.4257711478875816</v>
      </c>
      <c r="N70" s="2">
        <f t="shared" ref="N70" si="60">IF(OR(N$23="",$C70=""),"",N$26*(COS(N$27+$F71)-COS(N$27))+$D71)</f>
        <v>1.4238980768048284</v>
      </c>
      <c r="O70" s="2">
        <f t="shared" ref="O70" si="61">IF(OR(O$23="",$C70=""),"",O$26*(COS(O$27+$F71)-COS(O$27))+$D71)</f>
        <v>1.3957333446958895</v>
      </c>
      <c r="P70" s="2">
        <f t="shared" ref="P70" si="62">IF(OR(P$23="",$C70=""),"",P$26*(COS(P$27+$F71)-COS(P$27))+$D71)</f>
        <v>1.3952926220881832</v>
      </c>
      <c r="Q70" s="2">
        <f t="shared" ref="Q70" si="63">IF(OR(Q$23="",$C70=""),"",Q$26*(COS(Q$27+$F71)-COS(Q$27))+$D71)</f>
        <v>1.5924457468507418</v>
      </c>
      <c r="R70" s="2">
        <f t="shared" ref="R70" si="64">IF(OR(R$23="",$C70=""),"",R$26*(COS(R$27+$F71)-COS(R$27))+$D71)</f>
        <v>1.5952002631489093</v>
      </c>
      <c r="S70" s="2">
        <f t="shared" ref="S70" si="65">IF(OR(S$23="",$C70=""),"",S$26*(COS(S$27+$F71)-COS(S$27))+$D71)</f>
        <v>1.5107060668220995</v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-7.3410000000000003E-2</v>
      </c>
      <c r="D71" s="2">
        <f>IF(C36="","",(C36-C38*$B$19)*$F$62)</f>
        <v>1.503185562262388</v>
      </c>
      <c r="E71" s="2">
        <f>IF(C36="","",(C37+C38*$B$18)*$F$62)</f>
        <v>-5.4507037991230137E-3</v>
      </c>
      <c r="F71" s="2">
        <f>IF(C36="","",C38*$F$62)</f>
        <v>1.5647711945399993E-2</v>
      </c>
      <c r="G71" s="1" t="str">
        <f>IF(G37="","","Vy")</f>
        <v>Vy</v>
      </c>
      <c r="H71" s="2">
        <f>IF(OR(H$23="",$C70=""),"",H$26*(SIN(H$27+$F71)-SIN(H$27))+$E71)</f>
        <v>-0.21370928322841395</v>
      </c>
      <c r="I71" s="2">
        <f t="shared" ref="I71" si="66">IF(OR(I$23="",$C70=""),"",I$26*(SIN(I$27+$F71)-SIN(I$27))+$E71)</f>
        <v>-0.21437036713997404</v>
      </c>
      <c r="J71" s="2">
        <f t="shared" ref="J71" si="67">IF(OR(J$23="",$C70=""),"",J$26*(SIN(J$27+$F71)-SIN(J$27))+$E71)</f>
        <v>-0.16273502494025732</v>
      </c>
      <c r="K71" s="2">
        <f t="shared" ref="K71" si="68">IF(OR(K$23="",$C70=""),"",K$26*(SIN(K$27+$F71)-SIN(K$27))+$E71)</f>
        <v>-0.16295538624411149</v>
      </c>
      <c r="L71" s="2">
        <f t="shared" ref="L71" si="69">IF(OR(L$23="",$C70=""),"",L$26*(SIN(L$27+$F71)-SIN(L$27))+$E71)</f>
        <v>-0.10662592202623648</v>
      </c>
      <c r="M71" s="2">
        <f t="shared" ref="M71" si="70">IF(OR(M$23="",$C70=""),"",M$26*(SIN(M$27+$F71)-SIN(M$27))+$E71)</f>
        <v>-0.10640556072238434</v>
      </c>
      <c r="N71" s="2">
        <f t="shared" ref="N71" si="71">IF(OR(N$23="",$C70=""),"",N$26*(SIN(N$27+$F71)-SIN(N$27))+$E71)</f>
        <v>0.13299466220357828</v>
      </c>
      <c r="O71" s="2">
        <f t="shared" ref="O71" si="72">IF(OR(O$23="",$C70=""),"",O$26*(SIN(O$27+$F71)-SIN(O$27))+$E71)</f>
        <v>0.13277430089972553</v>
      </c>
      <c r="P71" s="2">
        <f t="shared" ref="P71" si="73">IF(OR(P$23="",$C70=""),"",P$26*(SIN(P$27+$F71)-SIN(P$27))+$E71)</f>
        <v>0.18910376511759885</v>
      </c>
      <c r="Q71" s="2">
        <f t="shared" ref="Q71" si="74">IF(OR(Q$23="",$C70=""),"",Q$26*(SIN(Q$27+$F71)-SIN(Q$27))+$E71)</f>
        <v>0.19064629424457344</v>
      </c>
      <c r="R71" s="2">
        <f t="shared" ref="R71" si="75">IF(OR(R$23="",$C70=""),"",R$26*(SIN(R$27+$F71)-SIN(R$27))+$E71)</f>
        <v>-0.16141285711713677</v>
      </c>
      <c r="S71" s="2">
        <f t="shared" ref="S71" si="76">IF(OR(S$23="",$C70=""),"",S$26*(SIN(S$27+$F71)-SIN(S$27))+$E71)</f>
        <v>-0.16207394102869671</v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5.3736000000000001E-3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2</v>
      </c>
      <c r="B73" s="1" t="str">
        <f t="shared" si="31"/>
        <v>Vx</v>
      </c>
      <c r="C73" s="14">
        <f t="shared" si="31"/>
        <v>0.71753999999999996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1.9742416845254633</v>
      </c>
      <c r="I73" s="2">
        <f t="shared" ref="I73" si="77">IF(OR(I$23="",$C73=""),"",I$26*(COS(I$27+$F74)-COS(I$27))+$D74)</f>
        <v>1.85584502706254</v>
      </c>
      <c r="J73" s="2">
        <f t="shared" ref="J73" si="78">IF(OR(J$23="",$C73=""),"",J$26*(COS(J$27+$F74)-COS(J$27))+$D74)</f>
        <v>1.8550517452255428</v>
      </c>
      <c r="K73" s="2">
        <f t="shared" ref="K73" si="79">IF(OR(K$23="",$C73=""),"",K$26*(COS(K$27+$F74)-COS(K$27))+$D74)</f>
        <v>1.8155861927379005</v>
      </c>
      <c r="L73" s="2">
        <f t="shared" ref="L73" si="80">IF(OR(L$23="",$C73=""),"",L$26*(COS(L$27+$F74)-COS(L$27))+$D74)</f>
        <v>1.814720794370269</v>
      </c>
      <c r="M73" s="2">
        <f t="shared" ref="M73" si="81">IF(OR(M$23="",$C73=""),"",M$26*(COS(M$27+$F74)-COS(M$27))+$D74)</f>
        <v>1.8541863468579098</v>
      </c>
      <c r="N73" s="2">
        <f t="shared" ref="N73" si="82">IF(OR(N$23="",$C73=""),"",N$26*(COS(N$27+$F74)-COS(N$27))+$D74)</f>
        <v>1.8505084037954718</v>
      </c>
      <c r="O73" s="2">
        <f t="shared" ref="O73" si="83">IF(OR(O$23="",$C73=""),"",O$26*(COS(O$27+$F74)-COS(O$27))+$D74)</f>
        <v>1.8110428513078289</v>
      </c>
      <c r="P73" s="2">
        <f t="shared" ref="P73" si="84">IF(OR(P$23="",$C73=""),"",P$26*(COS(P$27+$F74)-COS(P$27))+$D74)</f>
        <v>1.8101774529401973</v>
      </c>
      <c r="Q73" s="2">
        <f t="shared" ref="Q73" si="85">IF(OR(Q$23="",$C73=""),"",Q$26*(COS(Q$27+$F74)-COS(Q$27))+$D74)</f>
        <v>2.0864363203536902</v>
      </c>
      <c r="R73" s="2">
        <f t="shared" ref="R73" si="86">IF(OR(R$23="",$C73=""),"",R$26*(COS(R$27+$F74)-COS(R$27))+$D74)</f>
        <v>2.0918450601513925</v>
      </c>
      <c r="S73" s="2">
        <f t="shared" ref="S73" si="87">IF(OR(S$23="",$C73=""),"",S$26*(COS(S$27+$F74)-COS(S$27))+$D74)</f>
        <v>1.973448402688468</v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-0.1026</v>
      </c>
      <c r="D74" s="2">
        <f>IF(C39="","",(C39-C41*$B$19)*$F$62)</f>
        <v>1.9622210374113096</v>
      </c>
      <c r="E74" s="2">
        <f>IF(C39="","",(C40+C41*$B$18)*$F$62)</f>
        <v>-6.8544884569458628E-3</v>
      </c>
      <c r="F74" s="2">
        <f>IF(C39="","",C41*$F$62)</f>
        <v>2.1927063969938581E-2</v>
      </c>
      <c r="G74" s="1" t="str">
        <f>IF(G40="","","Vy")</f>
        <v>Vy</v>
      </c>
      <c r="H74" s="2">
        <f>IF(OR(H$23="",$C73=""),"",H$26*(SIN(H$27+$F74)-SIN(H$27))+$E74)</f>
        <v>-0.29864706884961206</v>
      </c>
      <c r="I74" s="2">
        <f t="shared" ref="I74" si="88">IF(OR(I$23="",$C73=""),"",I$26*(SIN(I$27+$F74)-SIN(I$27))+$E74)</f>
        <v>-0.29994516640106067</v>
      </c>
      <c r="J74" s="2">
        <f t="shared" ref="J74" si="89">IF(OR(J$23="",$C73=""),"",J$26*(SIN(J$27+$F74)-SIN(J$27))+$E74)</f>
        <v>-0.22759165350705107</v>
      </c>
      <c r="K74" s="2">
        <f t="shared" ref="K74" si="90">IF(OR(K$23="",$C73=""),"",K$26*(SIN(K$27+$F74)-SIN(K$27))+$E74)</f>
        <v>-0.22802435269086796</v>
      </c>
      <c r="L74" s="2">
        <f t="shared" ref="L74" si="91">IF(OR(L$23="",$C73=""),"",L$26*(SIN(L$27+$F74)-SIN(L$27))+$E74)</f>
        <v>-0.14909324771558335</v>
      </c>
      <c r="M74" s="2">
        <f t="shared" ref="M74" si="92">IF(OR(M$23="",$C73=""),"",M$26*(SIN(M$27+$F74)-SIN(M$27))+$E74)</f>
        <v>-0.14866054853176816</v>
      </c>
      <c r="N74" s="2">
        <f t="shared" ref="N74" si="93">IF(OR(N$23="",$C73=""),"",N$26*(SIN(N$27+$F74)-SIN(N$27))+$E74)</f>
        <v>0.18679664761318729</v>
      </c>
      <c r="O74" s="2">
        <f t="shared" ref="O74" si="94">IF(OR(O$23="",$C73=""),"",O$26*(SIN(O$27+$F74)-SIN(O$27))+$E74)</f>
        <v>0.18636394842937118</v>
      </c>
      <c r="P74" s="2">
        <f t="shared" ref="P74" si="95">IF(OR(P$23="",$C73=""),"",P$26*(SIN(P$27+$F74)-SIN(P$27))+$E74)</f>
        <v>0.2652950534046542</v>
      </c>
      <c r="Q74" s="2">
        <f t="shared" ref="Q74" si="96">IF(OR(Q$23="",$C73=""),"",Q$26*(SIN(Q$27+$F74)-SIN(Q$27))+$E74)</f>
        <v>0.26832394769136875</v>
      </c>
      <c r="R74" s="2">
        <f t="shared" ref="R74" si="97">IF(OR(R$23="",$C73=""),"",R$26*(SIN(R$27+$F74)-SIN(R$27))+$E74)</f>
        <v>-0.22499545840415439</v>
      </c>
      <c r="S74" s="2">
        <f t="shared" ref="S74" si="98">IF(OR(S$23="",$C73=""),"",S$26*(SIN(S$27+$F74)-SIN(S$27))+$E74)</f>
        <v>-0.22629355595560235</v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7.5300000000000002E-3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1</v>
      </c>
      <c r="B76" s="1" t="str">
        <f t="shared" si="31"/>
        <v>Vx</v>
      </c>
      <c r="C76" s="14">
        <f t="shared" si="31"/>
        <v>0.46722999999999998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1.2851436293815353</v>
      </c>
      <c r="I76" s="2">
        <f t="shared" ref="I76" si="99">IF(OR(I$23="",$C76=""),"",I$26*(COS(I$27+$F77)-COS(I$27))+$D77)</f>
        <v>1.2083897840512341</v>
      </c>
      <c r="J76" s="2">
        <f t="shared" ref="J76" si="100">IF(OR(J$23="",$C76=""),"",J$26*(COS(J$27+$F77)-COS(J$27))+$D77)</f>
        <v>1.2080564200911943</v>
      </c>
      <c r="K76" s="2">
        <f t="shared" ref="K76" si="101">IF(OR(K$23="",$C76=""),"",K$26*(COS(K$27+$F77)-COS(K$27))+$D77)</f>
        <v>1.1824718049810929</v>
      </c>
      <c r="L76" s="2">
        <f t="shared" ref="L76" si="102">IF(OR(L$23="",$C76=""),"",L$26*(COS(L$27+$F77)-COS(L$27))+$D77)</f>
        <v>1.1821081352065061</v>
      </c>
      <c r="M76" s="2">
        <f t="shared" ref="M76" si="103">IF(OR(M$23="",$C76=""),"",M$26*(COS(M$27+$F77)-COS(M$27))+$D77)</f>
        <v>1.2076927503166064</v>
      </c>
      <c r="N76" s="2">
        <f t="shared" ref="N76" si="104">IF(OR(N$23="",$C76=""),"",N$26*(COS(N$27+$F77)-COS(N$27))+$D77)</f>
        <v>1.2061471537746076</v>
      </c>
      <c r="O76" s="2">
        <f t="shared" ref="O76" si="105">IF(OR(O$23="",$C76=""),"",O$26*(COS(O$27+$F77)-COS(O$27))+$D77)</f>
        <v>1.1805625386645067</v>
      </c>
      <c r="P76" s="2">
        <f t="shared" ref="P76" si="106">IF(OR(P$23="",$C76=""),"",P$26*(COS(P$27+$F77)-COS(P$27))+$D77)</f>
        <v>1.1801988688899179</v>
      </c>
      <c r="Q76" s="2">
        <f t="shared" ref="Q76" si="107">IF(OR(Q$23="",$C76=""),"",Q$26*(COS(Q$27+$F77)-COS(Q$27))+$D77)</f>
        <v>1.3592911746606235</v>
      </c>
      <c r="R76" s="2">
        <f t="shared" ref="R76" si="108">IF(OR(R$23="",$C76=""),"",R$26*(COS(R$27+$F77)-COS(R$27))+$D77)</f>
        <v>1.361564110751798</v>
      </c>
      <c r="S76" s="2">
        <f t="shared" ref="S76" si="109">IF(OR(S$23="",$C76=""),"",S$26*(COS(S$27+$F77)-COS(S$27))+$D77)</f>
        <v>1.2848102654214961</v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-6.633E-2</v>
      </c>
      <c r="D77" s="2">
        <f>IF(C42="","",(C42-C44*$B$19)*$F$62)</f>
        <v>1.2780807175464455</v>
      </c>
      <c r="E77" s="2">
        <f>IF(C42="","",(C43+C44*$B$18)*$F$62)</f>
        <v>-3.9188310853598401E-3</v>
      </c>
      <c r="F77" s="2">
        <f>IF(C42="","",C44*$F$62)</f>
        <v>1.4214153699397235E-2</v>
      </c>
      <c r="G77" s="1" t="str">
        <f>IF(G43="","","Vy")</f>
        <v>Vy</v>
      </c>
      <c r="H77" s="2">
        <f>IF(OR(H$23="",$C76=""),"",H$26*(SIN(H$27+$F77)-SIN(H$27))+$E77)</f>
        <v>-0.19310334096497361</v>
      </c>
      <c r="I77" s="2">
        <f t="shared" ref="I77" si="110">IF(OR(I$23="",$C76=""),"",I$26*(SIN(I$27+$F77)-SIN(I$27))+$E77)</f>
        <v>-0.19364884562685564</v>
      </c>
      <c r="J77" s="2">
        <f t="shared" ref="J77" si="111">IF(OR(J$23="",$C76=""),"",J$26*(SIN(J$27+$F77)-SIN(J$27))+$E77)</f>
        <v>-0.14674371792500426</v>
      </c>
      <c r="K77" s="2">
        <f t="shared" ref="K77" si="112">IF(OR(K$23="",$C76=""),"",K$26*(SIN(K$27+$F77)-SIN(K$27))+$E77)</f>
        <v>-0.14692555281229833</v>
      </c>
      <c r="L77" s="2">
        <f t="shared" ref="L77" si="113">IF(OR(L$23="",$C76=""),"",L$26*(SIN(L$27+$F77)-SIN(L$27))+$E77)</f>
        <v>-9.5756322592096987E-2</v>
      </c>
      <c r="M77" s="2">
        <f t="shared" ref="M77" si="114">IF(OR(M$23="",$C76=""),"",M$26*(SIN(M$27+$F77)-SIN(M$27))+$E77)</f>
        <v>-9.557448770480334E-2</v>
      </c>
      <c r="N77" s="2">
        <f t="shared" ref="N77" si="115">IF(OR(N$23="",$C76=""),"",N$26*(SIN(N$27+$F77)-SIN(N$27))+$E77)</f>
        <v>0.121894740731053</v>
      </c>
      <c r="O77" s="2">
        <f t="shared" ref="O77" si="116">IF(OR(O$23="",$C76=""),"",O$26*(SIN(O$27+$F77)-SIN(O$27))+$E77)</f>
        <v>0.1217129058437591</v>
      </c>
      <c r="P77" s="2">
        <f t="shared" ref="P77" si="117">IF(OR(P$23="",$C76=""),"",P$26*(SIN(P$27+$F77)-SIN(P$27))+$E77)</f>
        <v>0.17288213606396</v>
      </c>
      <c r="Q77" s="2">
        <f t="shared" ref="Q77" si="118">IF(OR(Q$23="",$C76=""),"",Q$26*(SIN(Q$27+$F77)-SIN(Q$27))+$E77)</f>
        <v>0.17415498027501791</v>
      </c>
      <c r="R77" s="2">
        <f t="shared" ref="R77" si="119">IF(OR(R$23="",$C76=""),"",R$26*(SIN(R$27+$F77)-SIN(R$27))+$E77)</f>
        <v>-0.14565270860124158</v>
      </c>
      <c r="S77" s="2">
        <f t="shared" ref="S77" si="120">IF(OR(S$23="",$C76=""),"",S$26*(SIN(S$27+$F77)-SIN(S$27))+$E77)</f>
        <v>-0.14619821326312255</v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4.8812999999999999E-3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 t="str">
        <f>IF(A45="","",A45)</f>
        <v/>
      </c>
      <c r="B79" s="1" t="str">
        <f t="shared" si="31"/>
        <v/>
      </c>
      <c r="C79" s="14" t="str">
        <f t="shared" si="31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1">IF(OR(I$23="",$C79=""),"",I$26*(COS(I$27+$F80)-COS(I$27))+$D80)</f>
        <v/>
      </c>
      <c r="J79" s="2" t="str">
        <f t="shared" ref="J79" si="122">IF(OR(J$23="",$C79=""),"",J$26*(COS(J$27+$F80)-COS(J$27))+$D80)</f>
        <v/>
      </c>
      <c r="K79" s="2" t="str">
        <f t="shared" ref="K79" si="123">IF(OR(K$23="",$C79=""),"",K$26*(COS(K$27+$F80)-COS(K$27))+$D80)</f>
        <v/>
      </c>
      <c r="L79" s="2" t="str">
        <f t="shared" ref="L79" si="124">IF(OR(L$23="",$C79=""),"",L$26*(COS(L$27+$F80)-COS(L$27))+$D80)</f>
        <v/>
      </c>
      <c r="M79" s="2" t="str">
        <f t="shared" ref="M79" si="125">IF(OR(M$23="",$C79=""),"",M$26*(COS(M$27+$F80)-COS(M$27))+$D80)</f>
        <v/>
      </c>
      <c r="N79" s="2" t="str">
        <f t="shared" ref="N79" si="126">IF(OR(N$23="",$C79=""),"",N$26*(COS(N$27+$F80)-COS(N$27))+$D80)</f>
        <v/>
      </c>
      <c r="O79" s="2" t="str">
        <f t="shared" ref="O79" si="127">IF(OR(O$23="",$C79=""),"",O$26*(COS(O$27+$F80)-COS(O$27))+$D80)</f>
        <v/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">
      <c r="B80" s="1" t="str">
        <f t="shared" si="31"/>
        <v/>
      </c>
      <c r="C80" s="14" t="str">
        <f t="shared" si="31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2">IF(OR(I$23="",$C79=""),"",I$26*(SIN(I$27+$F80)-SIN(I$27))+$E80)</f>
        <v/>
      </c>
      <c r="J80" s="2" t="str">
        <f t="shared" ref="J80" si="133">IF(OR(J$23="",$C79=""),"",J$26*(SIN(J$27+$F80)-SIN(J$27))+$E80)</f>
        <v/>
      </c>
      <c r="K80" s="2" t="str">
        <f t="shared" ref="K80" si="134">IF(OR(K$23="",$C79=""),"",K$26*(SIN(K$27+$F80)-SIN(K$27))+$E80)</f>
        <v/>
      </c>
      <c r="L80" s="2" t="str">
        <f t="shared" ref="L80" si="135">IF(OR(L$23="",$C79=""),"",L$26*(SIN(L$27+$F80)-SIN(L$27))+$E80)</f>
        <v/>
      </c>
      <c r="M80" s="2" t="str">
        <f t="shared" ref="M80" si="136">IF(OR(M$23="",$C79=""),"",M$26*(SIN(M$27+$F80)-SIN(M$27))+$E80)</f>
        <v/>
      </c>
      <c r="N80" s="2" t="str">
        <f t="shared" ref="N80" si="137">IF(OR(N$23="",$C79=""),"",N$26*(SIN(N$27+$F80)-SIN(N$27))+$E80)</f>
        <v/>
      </c>
      <c r="O80" s="2" t="str">
        <f t="shared" ref="O80" si="138">IF(OR(O$23="",$C79=""),"",O$26*(SIN(O$27+$F80)-SIN(O$27))+$E80)</f>
        <v/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">
      <c r="A81" s="13"/>
      <c r="B81" s="13" t="str">
        <f t="shared" si="31"/>
        <v/>
      </c>
      <c r="C81" s="15" t="str">
        <f t="shared" si="31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9</v>
      </c>
      <c r="K97" s="1">
        <f>IF(Dati!K7="",1,Dati!K7)</f>
        <v>10</v>
      </c>
      <c r="L97" s="1">
        <f>IF(Dati!L7="",1,Dati!L7)</f>
        <v>11</v>
      </c>
      <c r="M97" s="1">
        <f>IF(Dati!M7="",1,Dati!M7)</f>
        <v>12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-2.3749609746501923</v>
      </c>
      <c r="C98" s="3">
        <f>IF($B64="",0,Dati!C$8+I64*Dati!$B$13)</f>
        <v>-2.178761313133867</v>
      </c>
      <c r="D98" s="3">
        <f>IF($B64="",0,Dati!D$8+J64*Dati!$B$13)</f>
        <v>1.1190597917174649</v>
      </c>
      <c r="E98" s="3">
        <f>IF(Dati!E$7="",$B98,IF($B64="",0,IF(Dati!E$7="","",Dati!E$8+K64*Dati!$B$13)))</f>
        <v>1.1844596788895734</v>
      </c>
      <c r="F98" s="3">
        <f>IF(Dati!F$7="",$B98,IF($B64="",0,IF(Dati!F$7="","",Dati!F$8+L64*Dati!$B$13)))</f>
        <v>4.7820827023637538</v>
      </c>
      <c r="G98" s="3">
        <f>IF(Dati!G$7="",$B98,IF($B64="",0,IF(Dati!G$7="","",Dati!G$8+M64*Dati!$B$13)))</f>
        <v>4.7166828151916453</v>
      </c>
      <c r="H98" s="3">
        <f>IF(Dati!H$7="",$B98,IF($B64="",0,IF(Dati!H$7="","",Dati!H$8+N64*Dati!$B$13)))</f>
        <v>20.00658066495691</v>
      </c>
      <c r="I98" s="3">
        <f>IF(Dati!I$7="",$B98,IF($B64="",0,IF(Dati!I$7="","",Dati!I$8+O64*Dati!$B$13)))</f>
        <v>20.07198055212902</v>
      </c>
      <c r="J98" s="3">
        <f>IF(Dati!J$7="",$B98,IF($B64="",0,IF(Dati!J$7="","",Dati!J$8+P64*Dati!$B$13)))</f>
        <v>23.669603575603201</v>
      </c>
      <c r="K98" s="3">
        <f>IF(Dati!K$7="",$B98,IF($B64="",0,IF(Dati!K$7="","",Dati!K$8+Q64*Dati!$B$13)))</f>
        <v>23.211804365398443</v>
      </c>
      <c r="L98" s="3">
        <f>IF(Dati!L$7="",$B98,IF($B64="",0,IF(Dati!L$7="","",Dati!L$8+R64*Dati!$B$13)))</f>
        <v>0.72666046868481571</v>
      </c>
      <c r="M98" s="3">
        <f>IF(Dati!M$7="",$B98,IF($B64="",0,IF(Dati!M$7="","",Dati!M$8+S64*Dati!$B$13)))</f>
        <v>0.92286013020114099</v>
      </c>
      <c r="N98" s="3">
        <f>IF(Dati!N$7="",$B98,IF($B64="",0,IF(Dati!N$7="","",Dati!N$8+T64*Dati!$B$13)))</f>
        <v>-2.3749609746501923</v>
      </c>
      <c r="P98" s="3">
        <f>IF($B64="",0,$P$128+$D65*Dati!$B$13)</f>
        <v>10.16975948060583</v>
      </c>
      <c r="Q98" s="3">
        <f>IF($B64="",0,$Q$128+$D65*Dati!$B$13)</f>
        <v>11.717759480605832</v>
      </c>
      <c r="R98" s="3"/>
      <c r="S98" s="3">
        <f>IF($B64="",0,$S$128+$D65*Dati!$B$13)</f>
        <v>10.943759480605831</v>
      </c>
      <c r="T98" s="3">
        <f>IF($B64="",0,$T$128+$D65*Dati!$B$13)</f>
        <v>10.943759480605831</v>
      </c>
    </row>
    <row r="99" spans="1:20" x14ac:dyDescent="0.2">
      <c r="A99" s="6" t="s">
        <v>8</v>
      </c>
      <c r="B99" s="3">
        <f>IF($B65="",0,Dati!B$9+H65*Dati!$B$13)</f>
        <v>5.8960078016534414</v>
      </c>
      <c r="C99" s="3">
        <f>IF($B65="",0,Dati!C$9+I65*Dati!$B$13)</f>
        <v>11.292442336864712</v>
      </c>
      <c r="D99" s="3">
        <f>IF($B65="",0,Dati!D$9+J65*Dati!$B$13)</f>
        <v>11.172542543715846</v>
      </c>
      <c r="E99" s="3">
        <f>IF(Dati!E$7="",$B99,IF($B65="",0,IF(Dati!E$7="","",Dati!E$9+K65*Dati!$B$13)))</f>
        <v>12.971354055452935</v>
      </c>
      <c r="F99" s="3">
        <f>IF(Dati!F$7="",$B99,IF($B65="",0,IF(Dati!F$7="","",Dati!F$9+L65*Dati!$B$13)))</f>
        <v>12.840554281108719</v>
      </c>
      <c r="G99" s="3">
        <f>IF(Dati!G$7="",$B99,IF($B65="",0,IF(Dati!G$7="","",Dati!G$9+M65*Dati!$B$13)))</f>
        <v>11.041742769371631</v>
      </c>
      <c r="H99" s="3">
        <f>IF(Dati!H$7="",$B99,IF($B65="",0,IF(Dati!H$7="","",Dati!H$9+N65*Dati!$B$13)))</f>
        <v>10.48584372840871</v>
      </c>
      <c r="I99" s="3">
        <f>IF(Dati!I$7="",$B99,IF($B65="",0,IF(Dati!I$7="","",Dati!I$9+O65*Dati!$B$13)))</f>
        <v>12.284655240145799</v>
      </c>
      <c r="J99" s="3">
        <f>IF(Dati!J$7="",$B99,IF($B65="",0,IF(Dati!J$7="","",Dati!J$9+P65*Dati!$B$13)))</f>
        <v>12.153855465801582</v>
      </c>
      <c r="K99" s="3">
        <f>IF(Dati!K$7="",$B99,IF($B65="",0,IF(Dati!K$7="","",Dati!K$9+Q65*Dati!$B$13)))</f>
        <v>-0.43782511635804827</v>
      </c>
      <c r="L99" s="3">
        <f>IF(Dati!L$7="",$B99,IF($B65="",0,IF(Dati!L$7="","",Dati!L$9+R65*Dati!$B$13)))</f>
        <v>0.37967347329330486</v>
      </c>
      <c r="M99" s="3">
        <f>IF(Dati!M$7="",$B99,IF($B65="",0,IF(Dati!M$7="","",Dati!M$9+S65*Dati!$B$13)))</f>
        <v>5.7761080085045764</v>
      </c>
      <c r="N99" s="3">
        <f>IF(Dati!N$7="",$B99,IF($B65="",0,IF(Dati!N$7="","",Dati!N$9+T65*Dati!$B$13)))</f>
        <v>5.8960078016534414</v>
      </c>
      <c r="P99" s="3">
        <f>IF($B65="",0,$P$129+$E65*Dati!$B$13)</f>
        <v>5.8143334630173999</v>
      </c>
      <c r="Q99" s="3">
        <f>IF($B65="",0,$Q$129+$E65*Dati!$B$13)</f>
        <v>5.8143334630173999</v>
      </c>
      <c r="R99" s="3"/>
      <c r="S99" s="3">
        <f>IF($B65="",0,$S$129+$E65*Dati!$B$13)</f>
        <v>5.0403334630173999</v>
      </c>
      <c r="T99" s="3">
        <f>IF($B65="",0,$T$129+$E65*Dati!$B$13)</f>
        <v>6.5883334630174</v>
      </c>
    </row>
    <row r="101" spans="1:20" x14ac:dyDescent="0.2">
      <c r="A101" s="6" t="s">
        <v>7</v>
      </c>
      <c r="B101" s="3">
        <f>IF($B67="",0,Dati!B$8+H67*Dati!$B$13)</f>
        <v>-0.19136665286394702</v>
      </c>
      <c r="C101" s="3">
        <f>IF($B67="",0,Dati!C$8+I67*Dati!$B$13)</f>
        <v>-0.15439843593609948</v>
      </c>
      <c r="D101" s="3">
        <f>IF($B67="",0,Dati!D$8+J67*Dati!$B$13)</f>
        <v>3.145524232192316</v>
      </c>
      <c r="E101" s="3">
        <f>IF(Dati!E$7="",$B101,IF($B67="",0,IF(Dati!E$7="","",Dati!E$8+K67*Dati!$B$13)))</f>
        <v>3.1578469711682651</v>
      </c>
      <c r="F101" s="3">
        <f>IF(Dati!F$7="",$B101,IF($B67="",0,IF(Dati!F$7="","",Dati!F$8+L67*Dati!$B$13)))</f>
        <v>6.757762609126539</v>
      </c>
      <c r="G101" s="3">
        <f>IF(Dati!G$7="",$B101,IF($B67="",0,IF(Dati!G$7="","",Dati!G$8+M67*Dati!$B$13)))</f>
        <v>6.74543987015059</v>
      </c>
      <c r="H101" s="3">
        <f>IF(Dati!H$7="",$B101,IF($B67="",0,IF(Dati!H$7="","",Dati!H$8+N67*Dati!$B$13)))</f>
        <v>22.045081331473252</v>
      </c>
      <c r="I101" s="3">
        <f>IF(Dati!I$7="",$B101,IF($B67="",0,IF(Dati!I$7="","",Dati!I$8+O67*Dati!$B$13)))</f>
        <v>22.057404070449202</v>
      </c>
      <c r="J101" s="3">
        <f>IF(Dati!J$7="",$B101,IF($B67="",0,IF(Dati!J$7="","",Dati!J$8+P67*Dati!$B$13)))</f>
        <v>25.657319708407474</v>
      </c>
      <c r="K101" s="3">
        <f>IF(Dati!K$7="",$B101,IF($B67="",0,IF(Dati!K$7="","",Dati!K$8+Q67*Dati!$B$13)))</f>
        <v>25.571060535575832</v>
      </c>
      <c r="L101" s="3">
        <f>IF(Dati!L$7="",$B101,IF($B67="",0,IF(Dati!L$7="","",Dati!L$8+R67*Dati!$B$13)))</f>
        <v>3.0715877983366235</v>
      </c>
      <c r="M101" s="3">
        <f>IF(Dati!M$7="",$B101,IF($B67="",0,IF(Dati!M$7="","",Dati!M$8+S67*Dati!$B$13)))</f>
        <v>3.1085560152644702</v>
      </c>
      <c r="N101" s="3">
        <f>IF(Dati!N$7="",$B101,IF($B67="",0,IF(Dati!N$7="","",Dati!N$8+T67*Dati!$B$13)))</f>
        <v>-0.19136665286394702</v>
      </c>
      <c r="P101" s="3">
        <f>IF($B67="",0,$P$128+$D68*Dati!$B$13)</f>
        <v>12.349969436109451</v>
      </c>
      <c r="Q101" s="3">
        <f>IF($B67="",0,$Q$128+$D68*Dati!$B$13)</f>
        <v>13.897969436109452</v>
      </c>
      <c r="R101" s="3"/>
      <c r="S101" s="3">
        <f>IF($B67="",0,$S$128+$D68*Dati!$B$13)</f>
        <v>13.123969436109451</v>
      </c>
      <c r="T101" s="3">
        <f>IF($B67="",0,$T$128+$D68*Dati!$B$13)</f>
        <v>13.123969436109451</v>
      </c>
    </row>
    <row r="102" spans="1:20" x14ac:dyDescent="0.2">
      <c r="A102" s="6" t="s">
        <v>8</v>
      </c>
      <c r="B102" s="3">
        <f>IF($B68="",0,Dati!B$9+H68*Dati!$B$13)</f>
        <v>5.492999267916467</v>
      </c>
      <c r="C102" s="3">
        <f>IF($B68="",0,Dati!C$9+I68*Dati!$B$13)</f>
        <v>10.892872724853879</v>
      </c>
      <c r="D102" s="3">
        <f>IF($B68="",0,Dati!D$9+J68*Dati!$B$13)</f>
        <v>10.870281036731305</v>
      </c>
      <c r="E102" s="3">
        <f>IF(Dati!E$7="",$B102,IF($B68="",0,IF(Dati!E$7="","",Dati!E$9+K68*Dati!$B$13)))</f>
        <v>12.670238855710441</v>
      </c>
      <c r="F102" s="3">
        <f>IF(Dati!F$7="",$B102,IF($B68="",0,IF(Dati!F$7="","",Dati!F$9+L68*Dati!$B$13)))</f>
        <v>12.645593377758544</v>
      </c>
      <c r="G102" s="3">
        <f>IF(Dati!G$7="",$B102,IF($B68="",0,IF(Dati!G$7="","",Dati!G$9+M68*Dati!$B$13)))</f>
        <v>10.845635558779406</v>
      </c>
      <c r="H102" s="3">
        <f>IF(Dati!H$7="",$B102,IF($B68="",0,IF(Dati!H$7="","",Dati!H$9+N68*Dati!$B$13)))</f>
        <v>10.740892277483841</v>
      </c>
      <c r="I102" s="3">
        <f>IF(Dati!I$7="",$B102,IF($B68="",0,IF(Dati!I$7="","",Dati!I$9+O68*Dati!$B$13)))</f>
        <v>12.540850096462977</v>
      </c>
      <c r="J102" s="3">
        <f>IF(Dati!J$7="",$B102,IF($B68="",0,IF(Dati!J$7="","",Dati!J$9+P68*Dati!$B$13)))</f>
        <v>12.516204618511079</v>
      </c>
      <c r="K102" s="3">
        <f>IF(Dati!K$7="",$B102,IF($B68="",0,IF(Dati!K$7="","",Dati!K$9+Q68*Dati!$B$13)))</f>
        <v>-8.3500114342877241E-2</v>
      </c>
      <c r="L102" s="3">
        <f>IF(Dati!L$7="",$B102,IF($B68="",0,IF(Dati!L$7="","",Dati!L$9+R68*Dati!$B$13)))</f>
        <v>7.0534122856483264E-2</v>
      </c>
      <c r="M102" s="3">
        <f>IF(Dati!M$7="",$B102,IF($B68="",0,IF(Dati!M$7="","",Dati!M$9+S68*Dati!$B$13)))</f>
        <v>5.4704075797938945</v>
      </c>
      <c r="N102" s="3">
        <f>IF(Dati!N$7="",$B102,IF($B68="",0,IF(Dati!N$7="","",Dati!N$9+T68*Dati!$B$13)))</f>
        <v>5.492999267916467</v>
      </c>
      <c r="P102" s="3">
        <f>IF($B68="",0,$P$129+$E68*Dati!$B$13)</f>
        <v>5.8041424833806792</v>
      </c>
      <c r="Q102" s="3">
        <f>IF($B68="",0,$Q$129+$E68*Dati!$B$13)</f>
        <v>5.8041424833806792</v>
      </c>
      <c r="R102" s="3"/>
      <c r="S102" s="3">
        <f>IF($B68="",0,$S$129+$E68*Dati!$B$13)</f>
        <v>5.0301424833806792</v>
      </c>
      <c r="T102" s="3">
        <f>IF($B68="",0,$T$129+$E68*Dati!$B$13)</f>
        <v>6.5781424833806792</v>
      </c>
    </row>
    <row r="104" spans="1:20" x14ac:dyDescent="0.2">
      <c r="A104" s="6" t="s">
        <v>7</v>
      </c>
      <c r="B104" s="3">
        <f>IF($B70="",0,Dati!B$8+H70*Dati!$B$13)</f>
        <v>1.5111100625458307</v>
      </c>
      <c r="C104" s="3">
        <f>IF($B70="",0,Dati!C$8+I70*Dati!$B$13)</f>
        <v>1.4266158662190211</v>
      </c>
      <c r="D104" s="3">
        <f>IF($B70="",0,Dati!D$8+J70*Dati!$B$13)</f>
        <v>4.7262118704952893</v>
      </c>
      <c r="E104" s="3">
        <f>IF(Dati!E$7="",$B104,IF($B70="",0,IF(Dati!E$7="","",Dati!E$8+K70*Dati!$B$13)))</f>
        <v>4.698047138386352</v>
      </c>
      <c r="F104" s="3">
        <f>IF(Dati!F$7="",$B104,IF($B70="",0,IF(Dati!F$7="","",Dati!F$8+L70*Dati!$B$13)))</f>
        <v>8.2976064157786453</v>
      </c>
      <c r="G104" s="3">
        <f>IF(Dati!G$7="",$B104,IF($B70="",0,IF(Dati!G$7="","",Dati!G$8+M70*Dati!$B$13)))</f>
        <v>8.3257711478875827</v>
      </c>
      <c r="H104" s="3">
        <f>IF(Dati!H$7="",$B104,IF($B70="",0,IF(Dati!H$7="","",Dati!H$8+N70*Dati!$B$13)))</f>
        <v>23.623898076804828</v>
      </c>
      <c r="I104" s="3">
        <f>IF(Dati!I$7="",$B104,IF($B70="",0,IF(Dati!I$7="","",Dati!I$8+O70*Dati!$B$13)))</f>
        <v>23.595733344695887</v>
      </c>
      <c r="J104" s="3">
        <f>IF(Dati!J$7="",$B104,IF($B70="",0,IF(Dati!J$7="","",Dati!J$8+P70*Dati!$B$13)))</f>
        <v>27.195292622088182</v>
      </c>
      <c r="K104" s="3">
        <f>IF(Dati!K$7="",$B104,IF($B70="",0,IF(Dati!K$7="","",Dati!K$8+Q70*Dati!$B$13)))</f>
        <v>27.392445746850743</v>
      </c>
      <c r="L104" s="3">
        <f>IF(Dati!L$7="",$B104,IF($B70="",0,IF(Dati!L$7="","",Dati!L$8+R70*Dati!$B$13)))</f>
        <v>4.8952002631489089</v>
      </c>
      <c r="M104" s="3">
        <f>IF(Dati!M$7="",$B104,IF($B70="",0,IF(Dati!M$7="","",Dati!M$8+S70*Dati!$B$13)))</f>
        <v>4.8107060668220996</v>
      </c>
      <c r="N104" s="3">
        <f>IF(Dati!N$7="",$B104,IF($B70="",0,IF(Dati!N$7="","",Dati!N$8+T70*Dati!$B$13)))</f>
        <v>1.5111100625458307</v>
      </c>
      <c r="P104" s="3">
        <f>IF($B70="",0,$P$128+$D71*Dati!$B$13)</f>
        <v>14.042079545070411</v>
      </c>
      <c r="Q104" s="3">
        <f>IF($B70="",0,$Q$128+$D71*Dati!$B$13)</f>
        <v>15.590079545070413</v>
      </c>
      <c r="R104" s="3"/>
      <c r="S104" s="3">
        <f>IF($B70="",0,$S$128+$D71*Dati!$B$13)</f>
        <v>14.816079545070412</v>
      </c>
      <c r="T104" s="3">
        <f>IF($B70="",0,$T$128+$D71*Dati!$B$13)</f>
        <v>14.816079545070412</v>
      </c>
    </row>
    <row r="105" spans="1:20" x14ac:dyDescent="0.2">
      <c r="A105" s="6" t="s">
        <v>8</v>
      </c>
      <c r="B105" s="3">
        <f>IF($B71="",0,Dati!B$9+H71*Dati!$B$13)</f>
        <v>5.1862907167715866</v>
      </c>
      <c r="C105" s="3">
        <f>IF($B71="",0,Dati!C$9+I71*Dati!$B$13)</f>
        <v>10.585629632860027</v>
      </c>
      <c r="D105" s="3">
        <f>IF($B71="",0,Dati!D$9+J71*Dati!$B$13)</f>
        <v>10.637264975059743</v>
      </c>
      <c r="E105" s="3">
        <f>IF(Dati!E$7="",$B105,IF($B71="",0,IF(Dati!E$7="","",Dati!E$9+K71*Dati!$B$13)))</f>
        <v>12.437044613755889</v>
      </c>
      <c r="F105" s="3">
        <f>IF(Dati!F$7="",$B105,IF($B71="",0,IF(Dati!F$7="","",Dati!F$9+L71*Dati!$B$13)))</f>
        <v>12.493374077973764</v>
      </c>
      <c r="G105" s="3">
        <f>IF(Dati!G$7="",$B105,IF($B71="",0,IF(Dati!G$7="","",Dati!G$9+M71*Dati!$B$13)))</f>
        <v>10.693594439277616</v>
      </c>
      <c r="H105" s="3">
        <f>IF(Dati!H$7="",$B105,IF($B71="",0,IF(Dati!H$7="","",Dati!H$9+N71*Dati!$B$13)))</f>
        <v>10.93299466220358</v>
      </c>
      <c r="I105" s="3">
        <f>IF(Dati!I$7="",$B105,IF($B71="",0,IF(Dati!I$7="","",Dati!I$9+O71*Dati!$B$13)))</f>
        <v>12.732774300899726</v>
      </c>
      <c r="J105" s="3">
        <f>IF(Dati!J$7="",$B105,IF($B71="",0,IF(Dati!J$7="","",Dati!J$9+P71*Dati!$B$13)))</f>
        <v>12.789103765117598</v>
      </c>
      <c r="K105" s="3">
        <f>IF(Dati!K$7="",$B105,IF($B71="",0,IF(Dati!K$7="","",Dati!K$9+Q71*Dati!$B$13)))</f>
        <v>0.19064629424457344</v>
      </c>
      <c r="L105" s="3">
        <f>IF(Dati!L$7="",$B105,IF($B71="",0,IF(Dati!L$7="","",Dati!L$9+R71*Dati!$B$13)))</f>
        <v>-0.16141285711713677</v>
      </c>
      <c r="M105" s="3">
        <f>IF(Dati!M$7="",$B105,IF($B71="",0,IF(Dati!M$7="","",Dati!M$9+S71*Dati!$B$13)))</f>
        <v>5.2379260589713033</v>
      </c>
      <c r="N105" s="3">
        <f>IF(Dati!N$7="",$B105,IF($B71="",0,IF(Dati!N$7="","",Dati!N$9+T71*Dati!$B$13)))</f>
        <v>5.1862907167715866</v>
      </c>
      <c r="P105" s="3">
        <f>IF($B71="",0,$P$129+$E71*Dati!$B$13)</f>
        <v>5.7968415598111935</v>
      </c>
      <c r="Q105" s="3">
        <f>IF($B71="",0,$Q$129+$E71*Dati!$B$13)</f>
        <v>5.7968415598111935</v>
      </c>
      <c r="R105" s="3"/>
      <c r="S105" s="3">
        <f>IF($B71="",0,$S$129+$E71*Dati!$B$13)</f>
        <v>5.0228415598111935</v>
      </c>
      <c r="T105" s="3">
        <f>IF($B71="",0,$T$129+$E71*Dati!$B$13)</f>
        <v>6.5708415598111936</v>
      </c>
    </row>
    <row r="107" spans="1:20" x14ac:dyDescent="0.2">
      <c r="A107" s="6" t="s">
        <v>7</v>
      </c>
      <c r="B107" s="3">
        <f>IF($B73="",0,Dati!B$8+H73*Dati!$B$13)</f>
        <v>1.9742416845254633</v>
      </c>
      <c r="C107" s="3">
        <f>IF($B73="",0,Dati!C$8+I73*Dati!$B$13)</f>
        <v>1.85584502706254</v>
      </c>
      <c r="D107" s="3">
        <f>IF($B73="",0,Dati!D$8+J73*Dati!$B$13)</f>
        <v>5.1550517452255429</v>
      </c>
      <c r="E107" s="3">
        <f>IF(Dati!E$7="",$B107,IF($B73="",0,IF(Dati!E$7="","",Dati!E$8+K73*Dati!$B$13)))</f>
        <v>5.1155861927379007</v>
      </c>
      <c r="F107" s="3">
        <f>IF(Dati!F$7="",$B107,IF($B73="",0,IF(Dati!F$7="","",Dati!F$8+L73*Dati!$B$13)))</f>
        <v>8.7147207943702689</v>
      </c>
      <c r="G107" s="3">
        <f>IF(Dati!G$7="",$B107,IF($B73="",0,IF(Dati!G$7="","",Dati!G$8+M73*Dati!$B$13)))</f>
        <v>8.7541863468579102</v>
      </c>
      <c r="H107" s="3">
        <f>IF(Dati!H$7="",$B107,IF($B73="",0,IF(Dati!H$7="","",Dati!H$8+N73*Dati!$B$13)))</f>
        <v>24.050508403795472</v>
      </c>
      <c r="I107" s="3">
        <f>IF(Dati!I$7="",$B107,IF($B73="",0,IF(Dati!I$7="","",Dati!I$8+O73*Dati!$B$13)))</f>
        <v>24.011042851307828</v>
      </c>
      <c r="J107" s="3">
        <f>IF(Dati!J$7="",$B107,IF($B73="",0,IF(Dati!J$7="","",Dati!J$8+P73*Dati!$B$13)))</f>
        <v>27.610177452940199</v>
      </c>
      <c r="K107" s="3">
        <f>IF(Dati!K$7="",$B107,IF($B73="",0,IF(Dati!K$7="","",Dati!K$8+Q73*Dati!$B$13)))</f>
        <v>27.886436320353692</v>
      </c>
      <c r="L107" s="3">
        <f>IF(Dati!L$7="",$B107,IF($B73="",0,IF(Dati!L$7="","",Dati!L$8+R73*Dati!$B$13)))</f>
        <v>5.3918450601513923</v>
      </c>
      <c r="M107" s="3">
        <f>IF(Dati!M$7="",$B107,IF($B73="",0,IF(Dati!M$7="","",Dati!M$8+S73*Dati!$B$13)))</f>
        <v>5.2734484026884676</v>
      </c>
      <c r="N107" s="3">
        <f>IF(Dati!N$7="",$B107,IF($B73="",0,IF(Dati!N$7="","",Dati!N$8+T73*Dati!$B$13)))</f>
        <v>1.9742416845254633</v>
      </c>
      <c r="P107" s="3">
        <f>IF($B73="",0,$P$128+$D74*Dati!$B$13)</f>
        <v>14.501115020219332</v>
      </c>
      <c r="Q107" s="3">
        <f>IF($B73="",0,$Q$128+$D74*Dati!$B$13)</f>
        <v>16.049115020219336</v>
      </c>
      <c r="R107" s="3"/>
      <c r="S107" s="3">
        <f>IF($B73="",0,$S$128+$D74*Dati!$B$13)</f>
        <v>15.275115020219333</v>
      </c>
      <c r="T107" s="3">
        <f>IF($B73="",0,$T$128+$D74*Dati!$B$13)</f>
        <v>15.275115020219333</v>
      </c>
    </row>
    <row r="108" spans="1:20" x14ac:dyDescent="0.2">
      <c r="A108" s="6" t="s">
        <v>8</v>
      </c>
      <c r="B108" s="3">
        <f>IF($B74="",0,Dati!B$9+H74*Dati!$B$13)</f>
        <v>5.1013529311503882</v>
      </c>
      <c r="C108" s="3">
        <f>IF($B74="",0,Dati!C$9+I74*Dati!$B$13)</f>
        <v>10.50005483359894</v>
      </c>
      <c r="D108" s="3">
        <f>IF($B74="",0,Dati!D$9+J74*Dati!$B$13)</f>
        <v>10.572408346492949</v>
      </c>
      <c r="E108" s="3">
        <f>IF(Dati!E$7="",$B108,IF($B74="",0,IF(Dati!E$7="","",Dati!E$9+K74*Dati!$B$13)))</f>
        <v>12.371975647309132</v>
      </c>
      <c r="F108" s="3">
        <f>IF(Dati!F$7="",$B108,IF($B74="",0,IF(Dati!F$7="","",Dati!F$9+L74*Dati!$B$13)))</f>
        <v>12.450906752284416</v>
      </c>
      <c r="G108" s="3">
        <f>IF(Dati!G$7="",$B108,IF($B74="",0,IF(Dati!G$7="","",Dati!G$9+M74*Dati!$B$13)))</f>
        <v>10.651339451468232</v>
      </c>
      <c r="H108" s="3">
        <f>IF(Dati!H$7="",$B108,IF($B74="",0,IF(Dati!H$7="","",Dati!H$9+N74*Dati!$B$13)))</f>
        <v>10.986796647613188</v>
      </c>
      <c r="I108" s="3">
        <f>IF(Dati!I$7="",$B108,IF($B74="",0,IF(Dati!I$7="","",Dati!I$9+O74*Dati!$B$13)))</f>
        <v>12.78636394842937</v>
      </c>
      <c r="J108" s="3">
        <f>IF(Dati!J$7="",$B108,IF($B74="",0,IF(Dati!J$7="","",Dati!J$9+P74*Dati!$B$13)))</f>
        <v>12.865295053404655</v>
      </c>
      <c r="K108" s="3">
        <f>IF(Dati!K$7="",$B108,IF($B74="",0,IF(Dati!K$7="","",Dati!K$9+Q74*Dati!$B$13)))</f>
        <v>0.26832394769136875</v>
      </c>
      <c r="L108" s="3">
        <f>IF(Dati!L$7="",$B108,IF($B74="",0,IF(Dati!L$7="","",Dati!L$9+R74*Dati!$B$13)))</f>
        <v>-0.22499545840415439</v>
      </c>
      <c r="M108" s="3">
        <f>IF(Dati!M$7="",$B108,IF($B74="",0,IF(Dati!M$7="","",Dati!M$9+S74*Dati!$B$13)))</f>
        <v>5.1737064440443978</v>
      </c>
      <c r="N108" s="3">
        <f>IF(Dati!N$7="",$B108,IF($B74="",0,IF(Dati!N$7="","",Dati!N$9+T74*Dati!$B$13)))</f>
        <v>5.1013529311503882</v>
      </c>
      <c r="P108" s="3">
        <f>IF($B74="",0,$P$129+$E74*Dati!$B$13)</f>
        <v>5.7954377751533706</v>
      </c>
      <c r="Q108" s="3">
        <f>IF($B74="",0,$Q$129+$E74*Dati!$B$13)</f>
        <v>5.7954377751533706</v>
      </c>
      <c r="R108" s="3"/>
      <c r="S108" s="3">
        <f>IF($B74="",0,$S$129+$E74*Dati!$B$13)</f>
        <v>5.0214377751533705</v>
      </c>
      <c r="T108" s="3">
        <f>IF($B74="",0,$T$129+$E74*Dati!$B$13)</f>
        <v>6.5694377751533706</v>
      </c>
    </row>
    <row r="110" spans="1:20" x14ac:dyDescent="0.2">
      <c r="A110" s="6" t="s">
        <v>7</v>
      </c>
      <c r="B110" s="3">
        <f>IF($B76="",0,Dati!B$8+H76*Dati!$B$13)</f>
        <v>1.2851436293815353</v>
      </c>
      <c r="C110" s="3">
        <f>IF($B76="",0,Dati!C$8+I76*Dati!$B$13)</f>
        <v>1.2083897840512341</v>
      </c>
      <c r="D110" s="3">
        <f>IF($B76="",0,Dati!D$8+J76*Dati!$B$13)</f>
        <v>4.5080564200911937</v>
      </c>
      <c r="E110" s="3">
        <f>IF(Dati!E$7="",$B110,IF($B76="",0,IF(Dati!E$7="","",Dati!E$8+K76*Dati!$B$13)))</f>
        <v>4.4824718049810928</v>
      </c>
      <c r="F110" s="3">
        <f>IF(Dati!F$7="",$B110,IF($B76="",0,IF(Dati!F$7="","",Dati!F$8+L76*Dati!$B$13)))</f>
        <v>8.0821081352065072</v>
      </c>
      <c r="G110" s="3">
        <f>IF(Dati!G$7="",$B110,IF($B76="",0,IF(Dati!G$7="","",Dati!G$8+M76*Dati!$B$13)))</f>
        <v>8.1076927503166072</v>
      </c>
      <c r="H110" s="3">
        <f>IF(Dati!H$7="",$B110,IF($B76="",0,IF(Dati!H$7="","",Dati!H$8+N76*Dati!$B$13)))</f>
        <v>23.406147153774608</v>
      </c>
      <c r="I110" s="3">
        <f>IF(Dati!I$7="",$B110,IF($B76="",0,IF(Dati!I$7="","",Dati!I$8+O76*Dati!$B$13)))</f>
        <v>23.380562538664506</v>
      </c>
      <c r="J110" s="3">
        <f>IF(Dati!J$7="",$B110,IF($B76="",0,IF(Dati!J$7="","",Dati!J$8+P76*Dati!$B$13)))</f>
        <v>26.980198868889918</v>
      </c>
      <c r="K110" s="3">
        <f>IF(Dati!K$7="",$B110,IF($B76="",0,IF(Dati!K$7="","",Dati!K$8+Q76*Dati!$B$13)))</f>
        <v>27.159291174660623</v>
      </c>
      <c r="L110" s="3">
        <f>IF(Dati!L$7="",$B110,IF($B76="",0,IF(Dati!L$7="","",Dati!L$8+R76*Dati!$B$13)))</f>
        <v>4.6615641107517973</v>
      </c>
      <c r="M110" s="3">
        <f>IF(Dati!M$7="",$B110,IF($B76="",0,IF(Dati!M$7="","",Dati!M$8+S76*Dati!$B$13)))</f>
        <v>4.5848102654214955</v>
      </c>
      <c r="N110" s="3">
        <f>IF(Dati!N$7="",$B110,IF($B76="",0,IF(Dati!N$7="","",Dati!N$8+T76*Dati!$B$13)))</f>
        <v>1.2851436293815353</v>
      </c>
      <c r="P110" s="3">
        <f>IF($B76="",0,$P$128+$D77*Dati!$B$13)</f>
        <v>13.816974700354468</v>
      </c>
      <c r="Q110" s="3">
        <f>IF($B76="",0,$Q$128+$D77*Dati!$B$13)</f>
        <v>15.36497470035447</v>
      </c>
      <c r="R110" s="3"/>
      <c r="S110" s="3">
        <f>IF($B76="",0,$S$128+$D77*Dati!$B$13)</f>
        <v>14.590974700354469</v>
      </c>
      <c r="T110" s="3">
        <f>IF($B76="",0,$T$128+$D77*Dati!$B$13)</f>
        <v>14.590974700354469</v>
      </c>
    </row>
    <row r="111" spans="1:20" x14ac:dyDescent="0.2">
      <c r="A111" s="6" t="s">
        <v>8</v>
      </c>
      <c r="B111" s="3">
        <f>IF($B77="",0,Dati!B$9+H77*Dati!$B$13)</f>
        <v>5.206896659035027</v>
      </c>
      <c r="C111" s="3">
        <f>IF($B77="",0,Dati!C$9+I77*Dati!$B$13)</f>
        <v>10.606351154373145</v>
      </c>
      <c r="D111" s="3">
        <f>IF($B77="",0,Dati!D$9+J77*Dati!$B$13)</f>
        <v>10.653256282074997</v>
      </c>
      <c r="E111" s="3">
        <f>IF(Dati!E$7="",$B111,IF($B77="",0,IF(Dati!E$7="","",Dati!E$9+K77*Dati!$B$13)))</f>
        <v>12.453074447187701</v>
      </c>
      <c r="F111" s="3">
        <f>IF(Dati!F$7="",$B111,IF($B77="",0,IF(Dati!F$7="","",Dati!F$9+L77*Dati!$B$13)))</f>
        <v>12.504243677407903</v>
      </c>
      <c r="G111" s="3">
        <f>IF(Dati!G$7="",$B111,IF($B77="",0,IF(Dati!G$7="","",Dati!G$9+M77*Dati!$B$13)))</f>
        <v>10.704425512295197</v>
      </c>
      <c r="H111" s="3">
        <f>IF(Dati!H$7="",$B111,IF($B77="",0,IF(Dati!H$7="","",Dati!H$9+N77*Dati!$B$13)))</f>
        <v>10.921894740731053</v>
      </c>
      <c r="I111" s="3">
        <f>IF(Dati!I$7="",$B111,IF($B77="",0,IF(Dati!I$7="","",Dati!I$9+O77*Dati!$B$13)))</f>
        <v>12.721712905843759</v>
      </c>
      <c r="J111" s="3">
        <f>IF(Dati!J$7="",$B111,IF($B77="",0,IF(Dati!J$7="","",Dati!J$9+P77*Dati!$B$13)))</f>
        <v>12.772882136063959</v>
      </c>
      <c r="K111" s="3">
        <f>IF(Dati!K$7="",$B111,IF($B77="",0,IF(Dati!K$7="","",Dati!K$9+Q77*Dati!$B$13)))</f>
        <v>0.17415498027501791</v>
      </c>
      <c r="L111" s="3">
        <f>IF(Dati!L$7="",$B111,IF($B77="",0,IF(Dati!L$7="","",Dati!L$9+R77*Dati!$B$13)))</f>
        <v>-0.14565270860124158</v>
      </c>
      <c r="M111" s="3">
        <f>IF(Dati!M$7="",$B111,IF($B77="",0,IF(Dati!M$7="","",Dati!M$9+S77*Dati!$B$13)))</f>
        <v>5.2538017867368776</v>
      </c>
      <c r="N111" s="3">
        <f>IF(Dati!N$7="",$B111,IF($B77="",0,IF(Dati!N$7="","",Dati!N$9+T77*Dati!$B$13)))</f>
        <v>5.206896659035027</v>
      </c>
      <c r="P111" s="3">
        <f>IF($B77="",0,$P$129+$E77*Dati!$B$13)</f>
        <v>5.7983734325249561</v>
      </c>
      <c r="Q111" s="3">
        <f>IF($B77="",0,$Q$129+$E77*Dati!$B$13)</f>
        <v>5.7983734325249561</v>
      </c>
      <c r="R111" s="3"/>
      <c r="S111" s="3">
        <f>IF($B77="",0,$S$129+$E77*Dati!$B$13)</f>
        <v>5.0243734325249561</v>
      </c>
      <c r="T111" s="3">
        <f>IF($B77="",0,$T$129+$E77*Dati!$B$13)</f>
        <v>6.5723734325249561</v>
      </c>
    </row>
    <row r="113" spans="1:20" x14ac:dyDescent="0.2">
      <c r="A113" s="6" t="s">
        <v>7</v>
      </c>
      <c r="B113" s="3">
        <f>IF($B79="",0,Dati!B$8+H79*Dati!$B$13)</f>
        <v>0</v>
      </c>
      <c r="C113" s="3">
        <f>IF($B79="",0,Dati!C$8+I79*Dati!$B$13)</f>
        <v>0</v>
      </c>
      <c r="D113" s="3">
        <f>IF($B79="",0,Dati!D$8+J79*Dati!$B$13)</f>
        <v>0</v>
      </c>
      <c r="E113" s="3">
        <f>IF(Dati!E$7="",$B113,IF($B79="",0,IF(Dati!E$7="","",Dati!E$8+K79*Dati!$B$13)))</f>
        <v>0</v>
      </c>
      <c r="F113" s="3">
        <f>IF(Dati!F$7="",$B113,IF($B79="",0,IF(Dati!F$7="","",Dati!F$8+L79*Dati!$B$13)))</f>
        <v>0</v>
      </c>
      <c r="G113" s="3">
        <f>IF(Dati!G$7="",$B113,IF($B79="",0,IF(Dati!G$7="","",Dati!G$8+M79*Dati!$B$13)))</f>
        <v>0</v>
      </c>
      <c r="H113" s="3">
        <f>IF(Dati!H$7="",$B113,IF($B79="",0,IF(Dati!H$7="","",Dati!H$8+N79*Dati!$B$13)))</f>
        <v>0</v>
      </c>
      <c r="I113" s="3">
        <f>IF(Dati!I$7="",$B113,IF($B79="",0,IF(Dati!I$7="","",Dati!I$8+O79*Dati!$B$13)))</f>
        <v>0</v>
      </c>
      <c r="J113" s="3">
        <f>IF(Dati!J$7="",$B113,IF($B79="",0,IF(Dati!J$7="","",Dati!J$8+P79*Dati!$B$13)))</f>
        <v>0</v>
      </c>
      <c r="K113" s="3">
        <f>IF(Dati!K$7="",$B113,IF($B79="",0,IF(Dati!K$7="","",Dati!K$8+Q79*Dati!$B$13)))</f>
        <v>0</v>
      </c>
      <c r="L113" s="3">
        <f>IF(Dati!L$7="",$B113,IF($B79="",0,IF(Dati!L$7="","",Dati!L$8+R79*Dati!$B$13)))</f>
        <v>0</v>
      </c>
      <c r="M113" s="3">
        <f>IF(Dati!M$7="",$B113,IF($B79="",0,IF(Dati!M$7="","",Dati!M$8+S79*Dati!$B$13)))</f>
        <v>0</v>
      </c>
      <c r="N113" s="3">
        <f>IF(Dati!N$7="",$B113,IF($B79="",0,IF(Dati!N$7="","",Dati!N$8+T79*Dati!$B$13)))</f>
        <v>0</v>
      </c>
      <c r="P113" s="3">
        <f>IF($B79="",0,$P$128+$D80*Dati!$B$13)</f>
        <v>0</v>
      </c>
      <c r="Q113" s="3">
        <f>IF($B79="",0,$Q$128+$D80*Dati!$B$13)</f>
        <v>0</v>
      </c>
      <c r="R113" s="3"/>
      <c r="S113" s="3">
        <f>IF($B79="",0,$S$128+$D80*Dati!$B$13)</f>
        <v>0</v>
      </c>
      <c r="T113" s="3">
        <f>IF($B79="",0,$T$128+$D80*Dati!$B$13)</f>
        <v>0</v>
      </c>
    </row>
    <row r="114" spans="1:20" x14ac:dyDescent="0.2">
      <c r="A114" s="6" t="s">
        <v>8</v>
      </c>
      <c r="B114" s="3">
        <f>IF($B80="",0,Dati!B$9+H80*Dati!$B$13)</f>
        <v>0</v>
      </c>
      <c r="C114" s="3">
        <f>IF($B80="",0,Dati!C$9+I80*Dati!$B$13)</f>
        <v>0</v>
      </c>
      <c r="D114" s="3">
        <f>IF($B80="",0,Dati!D$9+J80*Dati!$B$13)</f>
        <v>0</v>
      </c>
      <c r="E114" s="3">
        <f>IF(Dati!E$7="",$B114,IF($B80="",0,IF(Dati!E$7="","",Dati!E$9+K80*Dati!$B$13)))</f>
        <v>0</v>
      </c>
      <c r="F114" s="3">
        <f>IF(Dati!F$7="",$B114,IF($B80="",0,IF(Dati!F$7="","",Dati!F$9+L80*Dati!$B$13)))</f>
        <v>0</v>
      </c>
      <c r="G114" s="3">
        <f>IF(Dati!G$7="",$B114,IF($B80="",0,IF(Dati!G$7="","",Dati!G$9+M80*Dati!$B$13)))</f>
        <v>0</v>
      </c>
      <c r="H114" s="3">
        <f>IF(Dati!H$7="",$B114,IF($B80="",0,IF(Dati!H$7="","",Dati!H$9+N80*Dati!$B$13)))</f>
        <v>0</v>
      </c>
      <c r="I114" s="3">
        <f>IF(Dati!I$7="",$B114,IF($B80="",0,IF(Dati!I$7="","",Dati!I$9+O80*Dati!$B$13)))</f>
        <v>0</v>
      </c>
      <c r="J114" s="3">
        <f>IF(Dati!J$7="",$B114,IF($B80="",0,IF(Dati!J$7="","",Dati!J$9+P80*Dati!$B$13)))</f>
        <v>0</v>
      </c>
      <c r="K114" s="3">
        <f>IF(Dati!K$7="",$B114,IF($B80="",0,IF(Dati!K$7="","",Dati!K$9+Q80*Dati!$B$13)))</f>
        <v>0</v>
      </c>
      <c r="L114" s="3">
        <f>IF(Dati!L$7="",$B114,IF($B80="",0,IF(Dati!L$7="","",Dati!L$9+R80*Dati!$B$13)))</f>
        <v>0</v>
      </c>
      <c r="M114" s="3">
        <f>IF(Dati!M$7="",$B114,IF($B80="",0,IF(Dati!M$7="","",Dati!M$9+S80*Dati!$B$13)))</f>
        <v>0</v>
      </c>
      <c r="N114" s="3">
        <f>IF(Dati!N$7="",$B114,IF($B80="",0,IF(Dati!N$7="","",Dati!N$9+T80*Dati!$B$13)))</f>
        <v>0</v>
      </c>
      <c r="P114" s="3">
        <f>IF($B80="",0,$P$129+$E80*Dati!$B$13)</f>
        <v>0</v>
      </c>
      <c r="Q114" s="3">
        <f>IF($B80="",0,$Q$129+$E80*Dati!$B$13)</f>
        <v>0</v>
      </c>
      <c r="R114" s="3"/>
      <c r="S114" s="3">
        <f>IF($B80="",0,$S$129+$E80*Dati!$B$13)</f>
        <v>0</v>
      </c>
      <c r="T114" s="3">
        <f>IF($B80="",0,$T$129+$E80*Dati!$B$13)</f>
        <v>0</v>
      </c>
    </row>
    <row r="116" spans="1:20" x14ac:dyDescent="0.2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</v>
      </c>
      <c r="C128" s="3">
        <f>Dati!C8</f>
        <v>0</v>
      </c>
      <c r="D128" s="3">
        <f>Dati!D8</f>
        <v>3.3</v>
      </c>
      <c r="E128" s="3">
        <f>IF(Dati!E$7="",$B128,IF(Dati!E$7="","",Dati!E8))</f>
        <v>3.3</v>
      </c>
      <c r="F128" s="3">
        <f>IF(Dati!F$7="",$B128,IF(Dati!F$7="","",Dati!F8))</f>
        <v>6.9</v>
      </c>
      <c r="G128" s="3">
        <f>IF(Dati!G$7="",$B128,IF(Dati!G$7="","",Dati!G8))</f>
        <v>6.9</v>
      </c>
      <c r="H128" s="3">
        <f>IF(Dati!H$7="",$B128,IF(Dati!H$7="","",Dati!H8))</f>
        <v>22.2</v>
      </c>
      <c r="I128" s="3">
        <f>IF(Dati!I$7="",$B128,IF(Dati!I$7="","",Dati!I8))</f>
        <v>22.2</v>
      </c>
      <c r="J128" s="3">
        <f>IF(Dati!J$7="",$B128,IF(Dati!J$7="","",Dati!J8))</f>
        <v>25.8</v>
      </c>
      <c r="K128" s="3">
        <f>IF(Dati!K$7="",$B128,IF(Dati!K$7="","",Dati!K8))</f>
        <v>25.8</v>
      </c>
      <c r="L128" s="3">
        <f>IF(Dati!L$7="",$B128,IF(Dati!L$7="","",Dati!L8))</f>
        <v>3.3</v>
      </c>
      <c r="M128" s="3">
        <f>IF(Dati!M$7="",$B128,IF(Dati!M$7="","",Dati!M8))</f>
        <v>3.3</v>
      </c>
      <c r="N128" s="3">
        <f>IF(Dati!N$7="",$B128,IF(Dati!N$7="","",Dati!N8))</f>
        <v>0</v>
      </c>
      <c r="P128" s="3">
        <f>I18</f>
        <v>12.538893982808023</v>
      </c>
      <c r="Q128" s="3">
        <f>J18</f>
        <v>14.086893982808025</v>
      </c>
      <c r="S128" s="3">
        <f>L18</f>
        <v>13.312893982808024</v>
      </c>
      <c r="T128" s="3">
        <f>M18</f>
        <v>13.312893982808024</v>
      </c>
    </row>
    <row r="129" spans="1:20" x14ac:dyDescent="0.2">
      <c r="A129" s="6" t="s">
        <v>8</v>
      </c>
      <c r="B129" s="3">
        <f>Dati!B9</f>
        <v>5.4</v>
      </c>
      <c r="C129" s="3">
        <f>Dati!C9</f>
        <v>10.8</v>
      </c>
      <c r="D129" s="3">
        <f>Dati!D9</f>
        <v>10.8</v>
      </c>
      <c r="E129" s="3">
        <f>IF(Dati!E$7="",$B129,IF(Dati!E$7="","",Dati!E9))</f>
        <v>12.6</v>
      </c>
      <c r="F129" s="3">
        <f>IF(Dati!F$7="",$B129,IF(Dati!F$7="","",Dati!F9))</f>
        <v>12.6</v>
      </c>
      <c r="G129" s="3">
        <f>IF(Dati!G$7="",$B129,IF(Dati!G$7="","",Dati!G9))</f>
        <v>10.8</v>
      </c>
      <c r="H129" s="3">
        <f>IF(Dati!H$7="",$B129,IF(Dati!H$7="","",Dati!H9))</f>
        <v>10.8</v>
      </c>
      <c r="I129" s="3">
        <f>IF(Dati!I$7="",$B129,IF(Dati!I$7="","",Dati!I9))</f>
        <v>12.6</v>
      </c>
      <c r="J129" s="3">
        <f>IF(Dati!J$7="",$B129,IF(Dati!J$7="","",Dati!J9))</f>
        <v>12.6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5.4</v>
      </c>
      <c r="N129" s="3">
        <f>IF(Dati!N$7="",$B129,IF(Dati!N$7="","",Dati!N9))</f>
        <v>5.4</v>
      </c>
      <c r="P129" s="3">
        <f>I19</f>
        <v>5.8022922636103162</v>
      </c>
      <c r="Q129" s="3">
        <f>J19</f>
        <v>5.8022922636103162</v>
      </c>
      <c r="S129" s="3">
        <f>L19</f>
        <v>5.0282922636103162</v>
      </c>
      <c r="T129" s="3">
        <f>M19</f>
        <v>6.5762922636103163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Carmelo Lazzaro Danzuso</cp:lastModifiedBy>
  <dcterms:created xsi:type="dcterms:W3CDTF">2009-01-21T15:28:49Z</dcterms:created>
  <dcterms:modified xsi:type="dcterms:W3CDTF">2017-01-26T18:40:32Z</dcterms:modified>
</cp:coreProperties>
</file>