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Edifici antisismici, nuova edizione\Calcoli\"/>
    </mc:Choice>
  </mc:AlternateContent>
  <bookViews>
    <workbookView xWindow="480" yWindow="135" windowWidth="18195" windowHeight="10545" tabRatio="632" activeTab="6"/>
  </bookViews>
  <sheets>
    <sheet name="Carichi unitari" sheetId="1" r:id="rId1"/>
    <sheet name="Carichi trave" sheetId="2" r:id="rId2"/>
    <sheet name="Carichi pilastri" sheetId="4" r:id="rId3"/>
    <sheet name="Masse" sheetId="5" r:id="rId4"/>
    <sheet name="Spettri di risposta" sheetId="6" r:id="rId5"/>
    <sheet name="Forze" sheetId="7" r:id="rId6"/>
    <sheet name="Car.Soll." sheetId="8" r:id="rId7"/>
    <sheet name="Dimensionamento" sheetId="9" r:id="rId8"/>
  </sheets>
  <calcPr calcId="152511"/>
</workbook>
</file>

<file path=xl/calcChain.xml><?xml version="1.0" encoding="utf-8"?>
<calcChain xmlns="http://schemas.openxmlformats.org/spreadsheetml/2006/main">
  <c r="F53" i="8" l="1"/>
  <c r="I52" i="8"/>
  <c r="H52" i="8"/>
  <c r="G52" i="8"/>
  <c r="F52" i="8"/>
  <c r="E52" i="8"/>
  <c r="I51" i="8"/>
  <c r="H51" i="8"/>
  <c r="G51" i="8"/>
  <c r="F51" i="8"/>
  <c r="E51" i="8"/>
  <c r="I50" i="8"/>
  <c r="H50" i="8"/>
  <c r="G50" i="8"/>
  <c r="F50" i="8"/>
  <c r="E50" i="8"/>
  <c r="I49" i="8"/>
  <c r="H49" i="8"/>
  <c r="G49" i="8"/>
  <c r="F49" i="8"/>
  <c r="E49" i="8"/>
  <c r="I48" i="8"/>
  <c r="H48" i="8"/>
  <c r="G48" i="8"/>
  <c r="F48" i="8"/>
  <c r="E48" i="8"/>
  <c r="E21" i="8"/>
  <c r="F21" i="8"/>
  <c r="G21" i="8"/>
  <c r="H21" i="8"/>
  <c r="I21" i="8"/>
  <c r="E22" i="8"/>
  <c r="F22" i="8"/>
  <c r="G22" i="8"/>
  <c r="H22" i="8"/>
  <c r="I22" i="8"/>
  <c r="E23" i="8"/>
  <c r="F23" i="8"/>
  <c r="G23" i="8"/>
  <c r="H23" i="8"/>
  <c r="I23" i="8"/>
  <c r="E20" i="8"/>
  <c r="F20" i="8"/>
  <c r="G20" i="8"/>
  <c r="H20" i="8"/>
  <c r="I20" i="8"/>
  <c r="I19" i="8"/>
  <c r="H19" i="8"/>
  <c r="E19" i="8"/>
  <c r="P59" i="2" l="1"/>
  <c r="O59" i="2"/>
  <c r="G59" i="2"/>
  <c r="F59" i="2"/>
  <c r="P43" i="2"/>
  <c r="O43" i="2"/>
  <c r="O27" i="2"/>
  <c r="N27" i="2"/>
  <c r="G27" i="2"/>
  <c r="F27" i="2"/>
  <c r="L52" i="2"/>
  <c r="J57" i="2"/>
  <c r="P56" i="2"/>
  <c r="O56" i="2"/>
  <c r="M56" i="2"/>
  <c r="J56" i="2"/>
  <c r="P55" i="2"/>
  <c r="O55" i="2"/>
  <c r="M55" i="2"/>
  <c r="J55" i="2"/>
  <c r="J54" i="2"/>
  <c r="P53" i="2"/>
  <c r="O53" i="2"/>
  <c r="N53" i="2"/>
  <c r="M53" i="2"/>
  <c r="J53" i="2"/>
  <c r="J52" i="2"/>
  <c r="P51" i="2"/>
  <c r="O51" i="2"/>
  <c r="N51" i="2"/>
  <c r="M51" i="2"/>
  <c r="J51" i="2"/>
  <c r="A57" i="2"/>
  <c r="G56" i="2"/>
  <c r="F56" i="2"/>
  <c r="D56" i="2"/>
  <c r="A56" i="2"/>
  <c r="G55" i="2"/>
  <c r="F55" i="2"/>
  <c r="D55" i="2"/>
  <c r="A55" i="2"/>
  <c r="A54" i="2"/>
  <c r="G53" i="2"/>
  <c r="F53" i="2"/>
  <c r="E53" i="2"/>
  <c r="D53" i="2"/>
  <c r="A53" i="2"/>
  <c r="G52" i="2"/>
  <c r="F52" i="2"/>
  <c r="E52" i="2"/>
  <c r="D52" i="2"/>
  <c r="A52" i="2"/>
  <c r="A51" i="2"/>
  <c r="C48" i="9"/>
  <c r="F62" i="8"/>
  <c r="L62" i="8" s="1"/>
  <c r="K61" i="8"/>
  <c r="I61" i="8"/>
  <c r="H61" i="8"/>
  <c r="G61" i="8"/>
  <c r="F61" i="8"/>
  <c r="L61" i="8" s="1"/>
  <c r="E61" i="8"/>
  <c r="K60" i="8"/>
  <c r="I60" i="8"/>
  <c r="H60" i="8"/>
  <c r="G60" i="8"/>
  <c r="F60" i="8"/>
  <c r="L60" i="8" s="1"/>
  <c r="E60" i="8"/>
  <c r="K59" i="8"/>
  <c r="I59" i="8"/>
  <c r="H59" i="8"/>
  <c r="G59" i="8"/>
  <c r="F59" i="8"/>
  <c r="L59" i="8" s="1"/>
  <c r="E59" i="8"/>
  <c r="L58" i="8"/>
  <c r="K58" i="8"/>
  <c r="I58" i="8"/>
  <c r="H58" i="8"/>
  <c r="G58" i="8"/>
  <c r="F58" i="8"/>
  <c r="E58" i="8"/>
  <c r="K57" i="8"/>
  <c r="I57" i="8"/>
  <c r="H57" i="8"/>
  <c r="G57" i="8"/>
  <c r="F57" i="8"/>
  <c r="L57" i="8" s="1"/>
  <c r="E57" i="8"/>
  <c r="G51" i="9"/>
  <c r="C51" i="9"/>
  <c r="G45" i="9"/>
  <c r="C45" i="9"/>
  <c r="G39" i="9"/>
  <c r="C39" i="9"/>
  <c r="C36" i="9"/>
  <c r="G33" i="9"/>
  <c r="C33" i="9"/>
  <c r="C24" i="9"/>
  <c r="C9" i="9"/>
  <c r="C19" i="9"/>
  <c r="C14" i="9"/>
  <c r="L53" i="8"/>
  <c r="L52" i="8"/>
  <c r="K52" i="8"/>
  <c r="K51" i="8"/>
  <c r="L51" i="8"/>
  <c r="K50" i="8"/>
  <c r="L50" i="8"/>
  <c r="K49" i="8"/>
  <c r="L49" i="8"/>
  <c r="L48" i="8"/>
  <c r="K48" i="8"/>
  <c r="C11" i="8"/>
  <c r="C12" i="8"/>
  <c r="C41" i="8" s="1"/>
  <c r="C13" i="8"/>
  <c r="C42" i="8" s="1"/>
  <c r="C14" i="8"/>
  <c r="C43" i="8" s="1"/>
  <c r="C10" i="8"/>
  <c r="B11" i="8"/>
  <c r="B12" i="8"/>
  <c r="B13" i="8"/>
  <c r="B14" i="8"/>
  <c r="B10" i="8"/>
  <c r="D3" i="8"/>
  <c r="D39" i="8"/>
  <c r="D40" i="8" s="1"/>
  <c r="D41" i="8" s="1"/>
  <c r="D42" i="8" s="1"/>
  <c r="D43" i="8" s="1"/>
  <c r="C40" i="8"/>
  <c r="D10" i="8"/>
  <c r="D11" i="8" s="1"/>
  <c r="D12" i="8" s="1"/>
  <c r="D13" i="8" s="1"/>
  <c r="D14" i="8" s="1"/>
  <c r="C39" i="8"/>
  <c r="C27" i="7"/>
  <c r="K26" i="7"/>
  <c r="K27" i="7"/>
  <c r="K28" i="7"/>
  <c r="K29" i="7"/>
  <c r="K25" i="7"/>
  <c r="H32" i="7"/>
  <c r="I26" i="7"/>
  <c r="I27" i="7"/>
  <c r="I28" i="7"/>
  <c r="I29" i="7"/>
  <c r="I25" i="7"/>
  <c r="H26" i="7"/>
  <c r="H27" i="7"/>
  <c r="H28" i="7"/>
  <c r="H29" i="7"/>
  <c r="H25" i="7"/>
  <c r="J11" i="7"/>
  <c r="K21" i="8" l="1"/>
  <c r="K19" i="8"/>
  <c r="K22" i="8"/>
  <c r="K20" i="8"/>
  <c r="K23" i="8"/>
  <c r="G3" i="8"/>
  <c r="K31" i="8"/>
  <c r="E10" i="8"/>
  <c r="E28" i="8" s="1"/>
  <c r="E11" i="8"/>
  <c r="E29" i="8" s="1"/>
  <c r="E13" i="8"/>
  <c r="E31" i="8" s="1"/>
  <c r="E12" i="8"/>
  <c r="E30" i="8" s="1"/>
  <c r="E14" i="8"/>
  <c r="E32" i="8" s="1"/>
  <c r="B39" i="8"/>
  <c r="E39" i="8" s="1"/>
  <c r="B40" i="8"/>
  <c r="E40" i="8" s="1"/>
  <c r="B41" i="8"/>
  <c r="E41" i="8" s="1"/>
  <c r="K30" i="8"/>
  <c r="B42" i="8"/>
  <c r="E42" i="8" s="1"/>
  <c r="B43" i="8"/>
  <c r="E43" i="8" s="1"/>
  <c r="K29" i="8"/>
  <c r="K28" i="8"/>
  <c r="K32" i="8"/>
  <c r="J29" i="7"/>
  <c r="H30" i="7"/>
  <c r="J27" i="7"/>
  <c r="J26" i="7"/>
  <c r="J28" i="7"/>
  <c r="J25" i="7"/>
  <c r="B11" i="7"/>
  <c r="B10" i="7" s="1"/>
  <c r="B9" i="7" s="1"/>
  <c r="B8" i="7" s="1"/>
  <c r="B7" i="7" s="1"/>
  <c r="B17" i="7" s="1"/>
  <c r="B19" i="7" s="1"/>
  <c r="L5" i="7"/>
  <c r="L7" i="7"/>
  <c r="L6" i="7"/>
  <c r="B8" i="5"/>
  <c r="H12" i="5"/>
  <c r="X52" i="6"/>
  <c r="V52" i="6"/>
  <c r="Z52" i="6" s="1"/>
  <c r="T52" i="6"/>
  <c r="R52" i="6"/>
  <c r="T50" i="6"/>
  <c r="X48" i="6"/>
  <c r="T46" i="6"/>
  <c r="X44" i="6"/>
  <c r="T42" i="6"/>
  <c r="X40" i="6"/>
  <c r="T38" i="6"/>
  <c r="V37" i="6"/>
  <c r="I23" i="6"/>
  <c r="L23" i="6" s="1"/>
  <c r="F20" i="6"/>
  <c r="X37" i="6" s="1"/>
  <c r="E20" i="6"/>
  <c r="D20" i="6" s="1"/>
  <c r="F19" i="6"/>
  <c r="F18" i="6"/>
  <c r="T37" i="6" s="1"/>
  <c r="E18" i="6"/>
  <c r="D18" i="6" s="1"/>
  <c r="F17" i="6"/>
  <c r="R37" i="6" s="1"/>
  <c r="T13" i="6"/>
  <c r="T9" i="6"/>
  <c r="X7" i="6"/>
  <c r="X32" i="6" s="1"/>
  <c r="T7" i="6"/>
  <c r="T34" i="6" s="1"/>
  <c r="I7" i="6"/>
  <c r="J6" i="6"/>
  <c r="Z5" i="6"/>
  <c r="K5" i="6"/>
  <c r="J5" i="6"/>
  <c r="E17" i="6" s="1"/>
  <c r="M4" i="6"/>
  <c r="L4" i="6"/>
  <c r="K4" i="6"/>
  <c r="J4" i="6"/>
  <c r="F10" i="8" l="1"/>
  <c r="F42" i="8"/>
  <c r="F40" i="8"/>
  <c r="F39" i="8"/>
  <c r="F15" i="8"/>
  <c r="F14" i="8"/>
  <c r="F13" i="8"/>
  <c r="F44" i="8"/>
  <c r="F43" i="8"/>
  <c r="F41" i="8"/>
  <c r="F12" i="8"/>
  <c r="F30" i="8" s="1"/>
  <c r="F11" i="8"/>
  <c r="J30" i="7"/>
  <c r="D19" i="7"/>
  <c r="I9" i="7"/>
  <c r="I24" i="6"/>
  <c r="R7" i="6"/>
  <c r="D17" i="6"/>
  <c r="X6" i="6"/>
  <c r="T6" i="6"/>
  <c r="R50" i="6"/>
  <c r="R48" i="6"/>
  <c r="R46" i="6"/>
  <c r="R44" i="6"/>
  <c r="R42" i="6"/>
  <c r="R40" i="6"/>
  <c r="R38" i="6"/>
  <c r="R49" i="6"/>
  <c r="R45" i="6"/>
  <c r="R41" i="6"/>
  <c r="X21" i="6"/>
  <c r="V50" i="6"/>
  <c r="Z50" i="6" s="1"/>
  <c r="V48" i="6"/>
  <c r="Z48" i="6" s="1"/>
  <c r="V46" i="6"/>
  <c r="Z46" i="6" s="1"/>
  <c r="V44" i="6"/>
  <c r="Z44" i="6" s="1"/>
  <c r="V42" i="6"/>
  <c r="Z42" i="6" s="1"/>
  <c r="V40" i="6"/>
  <c r="Z40" i="6" s="1"/>
  <c r="V38" i="6"/>
  <c r="Z38" i="6" s="1"/>
  <c r="V51" i="6"/>
  <c r="Z51" i="6" s="1"/>
  <c r="V47" i="6"/>
  <c r="Z47" i="6" s="1"/>
  <c r="V43" i="6"/>
  <c r="Z43" i="6" s="1"/>
  <c r="V39" i="6"/>
  <c r="Z39" i="6" s="1"/>
  <c r="Z37" i="6"/>
  <c r="R39" i="6"/>
  <c r="V45" i="6"/>
  <c r="Z45" i="6" s="1"/>
  <c r="X11" i="6"/>
  <c r="T23" i="6"/>
  <c r="T35" i="6"/>
  <c r="T33" i="6"/>
  <c r="T31" i="6"/>
  <c r="T29" i="6"/>
  <c r="T28" i="6"/>
  <c r="T26" i="6"/>
  <c r="T25" i="6"/>
  <c r="T24" i="6"/>
  <c r="T36" i="6"/>
  <c r="T32" i="6"/>
  <c r="T20" i="6"/>
  <c r="T19" i="6"/>
  <c r="T18" i="6"/>
  <c r="T17" i="6"/>
  <c r="T16" i="6"/>
  <c r="T14" i="6"/>
  <c r="T12" i="6"/>
  <c r="T10" i="6"/>
  <c r="T8" i="6"/>
  <c r="X9" i="6"/>
  <c r="T11" i="6"/>
  <c r="X13" i="6"/>
  <c r="T15" i="6"/>
  <c r="R47" i="6"/>
  <c r="E19" i="6"/>
  <c r="R51" i="6"/>
  <c r="V49" i="6"/>
  <c r="Z49" i="6" s="1"/>
  <c r="X23" i="6"/>
  <c r="X35" i="6"/>
  <c r="X33" i="6"/>
  <c r="X31" i="6"/>
  <c r="X29" i="6"/>
  <c r="X28" i="6"/>
  <c r="X26" i="6"/>
  <c r="X25" i="6"/>
  <c r="X24" i="6"/>
  <c r="X22" i="6"/>
  <c r="X34" i="6"/>
  <c r="X30" i="6"/>
  <c r="X27" i="6"/>
  <c r="X20" i="6"/>
  <c r="X19" i="6"/>
  <c r="X18" i="6"/>
  <c r="X17" i="6"/>
  <c r="X16" i="6"/>
  <c r="X14" i="6"/>
  <c r="X12" i="6"/>
  <c r="X10" i="6"/>
  <c r="X8" i="6"/>
  <c r="X15" i="6"/>
  <c r="T21" i="6"/>
  <c r="T22" i="6"/>
  <c r="T27" i="6"/>
  <c r="T30" i="6"/>
  <c r="X36" i="6"/>
  <c r="V41" i="6"/>
  <c r="Z41" i="6" s="1"/>
  <c r="R43" i="6"/>
  <c r="B20" i="6"/>
  <c r="C20" i="6" s="1"/>
  <c r="B19" i="6"/>
  <c r="C19" i="6" s="1"/>
  <c r="B18" i="6"/>
  <c r="C18" i="6" s="1"/>
  <c r="B17" i="6"/>
  <c r="C17" i="6" s="1"/>
  <c r="T51" i="6"/>
  <c r="T49" i="6"/>
  <c r="T47" i="6"/>
  <c r="T45" i="6"/>
  <c r="T43" i="6"/>
  <c r="T41" i="6"/>
  <c r="T39" i="6"/>
  <c r="X51" i="6"/>
  <c r="X49" i="6"/>
  <c r="X47" i="6"/>
  <c r="X45" i="6"/>
  <c r="X43" i="6"/>
  <c r="X41" i="6"/>
  <c r="X39" i="6"/>
  <c r="X38" i="6"/>
  <c r="T40" i="6"/>
  <c r="X42" i="6"/>
  <c r="T44" i="6"/>
  <c r="X46" i="6"/>
  <c r="T48" i="6"/>
  <c r="X50" i="6"/>
  <c r="L20" i="8" l="1"/>
  <c r="F29" i="8"/>
  <c r="L29" i="8" s="1"/>
  <c r="F19" i="8"/>
  <c r="F24" i="8"/>
  <c r="L21" i="8"/>
  <c r="F31" i="8"/>
  <c r="L31" i="8" s="1"/>
  <c r="L22" i="8"/>
  <c r="G10" i="8"/>
  <c r="L30" i="8"/>
  <c r="G13" i="8"/>
  <c r="G31" i="8" s="1"/>
  <c r="G42" i="8"/>
  <c r="G41" i="8"/>
  <c r="G12" i="8"/>
  <c r="G30" i="8" s="1"/>
  <c r="G14" i="8"/>
  <c r="G32" i="8" s="1"/>
  <c r="G11" i="8"/>
  <c r="G29" i="8" s="1"/>
  <c r="G43" i="8"/>
  <c r="G40" i="8"/>
  <c r="G39" i="8"/>
  <c r="L25" i="7"/>
  <c r="L26" i="7" s="1"/>
  <c r="L27" i="7" s="1"/>
  <c r="L28" i="7" s="1"/>
  <c r="L29" i="7" s="1"/>
  <c r="K30" i="7"/>
  <c r="I25" i="6"/>
  <c r="L24" i="6"/>
  <c r="G17" i="6"/>
  <c r="S6" i="6" s="1"/>
  <c r="S7" i="6" s="1"/>
  <c r="S5" i="6"/>
  <c r="G18" i="6"/>
  <c r="U5" i="6"/>
  <c r="V7" i="6"/>
  <c r="D19" i="6"/>
  <c r="R6" i="6"/>
  <c r="G23" i="6"/>
  <c r="G20" i="6"/>
  <c r="Y5" i="6"/>
  <c r="G19" i="6"/>
  <c r="W5" i="6"/>
  <c r="AA5" i="6" s="1"/>
  <c r="R36" i="6"/>
  <c r="R34" i="6"/>
  <c r="R32" i="6"/>
  <c r="R30" i="6"/>
  <c r="R27" i="6"/>
  <c r="R22" i="6"/>
  <c r="R33" i="6"/>
  <c r="R29" i="6"/>
  <c r="R26" i="6"/>
  <c r="R25" i="6"/>
  <c r="R23" i="6"/>
  <c r="R21" i="6"/>
  <c r="R15" i="6"/>
  <c r="R13" i="6"/>
  <c r="R11" i="6"/>
  <c r="R9" i="6"/>
  <c r="R24" i="6"/>
  <c r="R19" i="6"/>
  <c r="R35" i="6"/>
  <c r="R18" i="6"/>
  <c r="R14" i="6"/>
  <c r="R17" i="6"/>
  <c r="R16" i="6"/>
  <c r="R12" i="6"/>
  <c r="R8" i="6"/>
  <c r="R31" i="6"/>
  <c r="R28" i="6"/>
  <c r="R20" i="6"/>
  <c r="R10" i="6"/>
  <c r="F28" i="8" l="1"/>
  <c r="L28" i="8" s="1"/>
  <c r="L19" i="8"/>
  <c r="H10" i="8"/>
  <c r="H28" i="8" s="1"/>
  <c r="G19" i="8"/>
  <c r="G28" i="8" s="1"/>
  <c r="F33" i="8"/>
  <c r="L33" i="8" s="1"/>
  <c r="L24" i="8"/>
  <c r="F32" i="8"/>
  <c r="L32" i="8" s="1"/>
  <c r="L23" i="8"/>
  <c r="H41" i="8"/>
  <c r="H42" i="8"/>
  <c r="H14" i="8"/>
  <c r="H32" i="8" s="1"/>
  <c r="H39" i="8"/>
  <c r="H12" i="8"/>
  <c r="H30" i="8" s="1"/>
  <c r="H13" i="8"/>
  <c r="H31" i="8" s="1"/>
  <c r="H43" i="8"/>
  <c r="H40" i="8"/>
  <c r="H11" i="8"/>
  <c r="H29" i="8" s="1"/>
  <c r="I10" i="8"/>
  <c r="I28" i="8" s="1"/>
  <c r="L25" i="6"/>
  <c r="I26" i="6"/>
  <c r="L26" i="6" s="1"/>
  <c r="F29" i="6"/>
  <c r="W6" i="6"/>
  <c r="U6" i="6"/>
  <c r="U7" i="6" s="1"/>
  <c r="G24" i="6"/>
  <c r="C25" i="7" s="1"/>
  <c r="G29" i="6"/>
  <c r="G25" i="6"/>
  <c r="V6" i="6"/>
  <c r="Z6" i="6" s="1"/>
  <c r="M25" i="6"/>
  <c r="J23" i="6"/>
  <c r="Y6" i="6"/>
  <c r="Y7" i="6" s="1"/>
  <c r="O6" i="6"/>
  <c r="G26" i="6"/>
  <c r="J26" i="6" s="1"/>
  <c r="V36" i="6"/>
  <c r="Z36" i="6" s="1"/>
  <c r="V34" i="6"/>
  <c r="Z34" i="6" s="1"/>
  <c r="V32" i="6"/>
  <c r="Z32" i="6" s="1"/>
  <c r="V30" i="6"/>
  <c r="Z30" i="6" s="1"/>
  <c r="V27" i="6"/>
  <c r="Z27" i="6" s="1"/>
  <c r="Z7" i="6"/>
  <c r="V35" i="6"/>
  <c r="Z35" i="6" s="1"/>
  <c r="V31" i="6"/>
  <c r="Z31" i="6" s="1"/>
  <c r="V28" i="6"/>
  <c r="Z28" i="6" s="1"/>
  <c r="V22" i="6"/>
  <c r="Z22" i="6" s="1"/>
  <c r="V21" i="6"/>
  <c r="Z21" i="6" s="1"/>
  <c r="V15" i="6"/>
  <c r="Z15" i="6" s="1"/>
  <c r="V13" i="6"/>
  <c r="Z13" i="6" s="1"/>
  <c r="V11" i="6"/>
  <c r="Z11" i="6" s="1"/>
  <c r="V9" i="6"/>
  <c r="Z9" i="6" s="1"/>
  <c r="V17" i="6"/>
  <c r="Z17" i="6" s="1"/>
  <c r="V33" i="6"/>
  <c r="Z33" i="6" s="1"/>
  <c r="V23" i="6"/>
  <c r="Z23" i="6" s="1"/>
  <c r="V20" i="6"/>
  <c r="Z20" i="6" s="1"/>
  <c r="V16" i="6"/>
  <c r="Z16" i="6" s="1"/>
  <c r="V19" i="6"/>
  <c r="Z19" i="6" s="1"/>
  <c r="V29" i="6"/>
  <c r="Z29" i="6" s="1"/>
  <c r="V26" i="6"/>
  <c r="Z26" i="6" s="1"/>
  <c r="V24" i="6"/>
  <c r="Z24" i="6" s="1"/>
  <c r="V25" i="6"/>
  <c r="Z25" i="6" s="1"/>
  <c r="V18" i="6"/>
  <c r="Z18" i="6" s="1"/>
  <c r="V14" i="6"/>
  <c r="Z14" i="6" s="1"/>
  <c r="V10" i="6"/>
  <c r="Z10" i="6" s="1"/>
  <c r="V12" i="6"/>
  <c r="Z12" i="6" s="1"/>
  <c r="V8" i="6"/>
  <c r="Z8" i="6" s="1"/>
  <c r="S52" i="6"/>
  <c r="S50" i="6"/>
  <c r="S48" i="6"/>
  <c r="S46" i="6"/>
  <c r="S44" i="6"/>
  <c r="S42" i="6"/>
  <c r="S40" i="6"/>
  <c r="S38" i="6"/>
  <c r="S36" i="6"/>
  <c r="S34" i="6"/>
  <c r="S32" i="6"/>
  <c r="S30" i="6"/>
  <c r="S27" i="6"/>
  <c r="S22" i="6"/>
  <c r="S49" i="6"/>
  <c r="S45" i="6"/>
  <c r="S41" i="6"/>
  <c r="S37" i="6"/>
  <c r="S33" i="6"/>
  <c r="S29" i="6"/>
  <c r="S26" i="6"/>
  <c r="S25" i="6"/>
  <c r="S23" i="6"/>
  <c r="S21" i="6"/>
  <c r="S15" i="6"/>
  <c r="S13" i="6"/>
  <c r="S11" i="6"/>
  <c r="S9" i="6"/>
  <c r="S24" i="6"/>
  <c r="S51" i="6"/>
  <c r="S43" i="6"/>
  <c r="S35" i="6"/>
  <c r="S18" i="6"/>
  <c r="S14" i="6"/>
  <c r="S10" i="6"/>
  <c r="S17" i="6"/>
  <c r="S47" i="6"/>
  <c r="S39" i="6"/>
  <c r="S31" i="6"/>
  <c r="S28" i="6"/>
  <c r="S20" i="6"/>
  <c r="S16" i="6"/>
  <c r="S12" i="6"/>
  <c r="S8" i="6"/>
  <c r="S19" i="6"/>
  <c r="I39" i="8" l="1"/>
  <c r="I11" i="8"/>
  <c r="I29" i="8" s="1"/>
  <c r="M24" i="6"/>
  <c r="C24" i="7"/>
  <c r="M26" i="6"/>
  <c r="J24" i="6"/>
  <c r="U51" i="6"/>
  <c r="U49" i="6"/>
  <c r="U47" i="6"/>
  <c r="U45" i="6"/>
  <c r="U43" i="6"/>
  <c r="U41" i="6"/>
  <c r="U39" i="6"/>
  <c r="U37" i="6"/>
  <c r="U35" i="6"/>
  <c r="U33" i="6"/>
  <c r="U31" i="6"/>
  <c r="U29" i="6"/>
  <c r="U28" i="6"/>
  <c r="U26" i="6"/>
  <c r="U25" i="6"/>
  <c r="U24" i="6"/>
  <c r="U48" i="6"/>
  <c r="U44" i="6"/>
  <c r="U40" i="6"/>
  <c r="U36" i="6"/>
  <c r="U32" i="6"/>
  <c r="U20" i="6"/>
  <c r="U19" i="6"/>
  <c r="U18" i="6"/>
  <c r="U17" i="6"/>
  <c r="U16" i="6"/>
  <c r="U14" i="6"/>
  <c r="U12" i="6"/>
  <c r="U10" i="6"/>
  <c r="U8" i="6"/>
  <c r="U50" i="6"/>
  <c r="U46" i="6"/>
  <c r="U38" i="6"/>
  <c r="U30" i="6"/>
  <c r="U27" i="6"/>
  <c r="U22" i="6"/>
  <c r="U21" i="6"/>
  <c r="U13" i="6"/>
  <c r="U9" i="6"/>
  <c r="U52" i="6"/>
  <c r="U42" i="6"/>
  <c r="U34" i="6"/>
  <c r="U23" i="6"/>
  <c r="U15" i="6"/>
  <c r="U11" i="6"/>
  <c r="Y51" i="6"/>
  <c r="Y49" i="6"/>
  <c r="Y47" i="6"/>
  <c r="Y45" i="6"/>
  <c r="Y43" i="6"/>
  <c r="Y41" i="6"/>
  <c r="Y39" i="6"/>
  <c r="Y37" i="6"/>
  <c r="Y35" i="6"/>
  <c r="Y33" i="6"/>
  <c r="Y31" i="6"/>
  <c r="Y29" i="6"/>
  <c r="Y28" i="6"/>
  <c r="Y26" i="6"/>
  <c r="Y25" i="6"/>
  <c r="Y24" i="6"/>
  <c r="Y21" i="6"/>
  <c r="Y52" i="6"/>
  <c r="Y50" i="6"/>
  <c r="Y46" i="6"/>
  <c r="Y42" i="6"/>
  <c r="Y38" i="6"/>
  <c r="Y34" i="6"/>
  <c r="Y30" i="6"/>
  <c r="Y27" i="6"/>
  <c r="Y23" i="6"/>
  <c r="Y20" i="6"/>
  <c r="Y19" i="6"/>
  <c r="Y18" i="6"/>
  <c r="Y17" i="6"/>
  <c r="Y16" i="6"/>
  <c r="Y14" i="6"/>
  <c r="Y12" i="6"/>
  <c r="Y10" i="6"/>
  <c r="Y8" i="6"/>
  <c r="Y44" i="6"/>
  <c r="Y36" i="6"/>
  <c r="Y15" i="6"/>
  <c r="Y11" i="6"/>
  <c r="Y48" i="6"/>
  <c r="Y40" i="6"/>
  <c r="Y32" i="6"/>
  <c r="Y13" i="6"/>
  <c r="Y9" i="6"/>
  <c r="Y22" i="6"/>
  <c r="D26" i="6"/>
  <c r="D25" i="6"/>
  <c r="J25" i="6"/>
  <c r="M23" i="6"/>
  <c r="W7" i="6"/>
  <c r="AA6" i="6"/>
  <c r="I40" i="8" l="1"/>
  <c r="I12" i="8"/>
  <c r="I30" i="8" s="1"/>
  <c r="W52" i="6"/>
  <c r="AA52" i="6" s="1"/>
  <c r="W50" i="6"/>
  <c r="AA50" i="6" s="1"/>
  <c r="W48" i="6"/>
  <c r="AA48" i="6" s="1"/>
  <c r="W46" i="6"/>
  <c r="AA46" i="6" s="1"/>
  <c r="W44" i="6"/>
  <c r="AA44" i="6" s="1"/>
  <c r="W42" i="6"/>
  <c r="AA42" i="6" s="1"/>
  <c r="W40" i="6"/>
  <c r="AA40" i="6" s="1"/>
  <c r="W38" i="6"/>
  <c r="AA38" i="6" s="1"/>
  <c r="W36" i="6"/>
  <c r="AA36" i="6" s="1"/>
  <c r="W34" i="6"/>
  <c r="AA34" i="6" s="1"/>
  <c r="W32" i="6"/>
  <c r="AA32" i="6" s="1"/>
  <c r="W30" i="6"/>
  <c r="AA30" i="6" s="1"/>
  <c r="W27" i="6"/>
  <c r="AA27" i="6" s="1"/>
  <c r="W22" i="6"/>
  <c r="AA22" i="6" s="1"/>
  <c r="W51" i="6"/>
  <c r="AA51" i="6" s="1"/>
  <c r="W47" i="6"/>
  <c r="AA47" i="6" s="1"/>
  <c r="W43" i="6"/>
  <c r="AA43" i="6" s="1"/>
  <c r="W39" i="6"/>
  <c r="AA39" i="6" s="1"/>
  <c r="W35" i="6"/>
  <c r="AA35" i="6" s="1"/>
  <c r="W31" i="6"/>
  <c r="AA31" i="6" s="1"/>
  <c r="W28" i="6"/>
  <c r="AA28" i="6" s="1"/>
  <c r="W21" i="6"/>
  <c r="AA21" i="6" s="1"/>
  <c r="W15" i="6"/>
  <c r="AA15" i="6" s="1"/>
  <c r="W13" i="6"/>
  <c r="AA13" i="6" s="1"/>
  <c r="W11" i="6"/>
  <c r="AA11" i="6" s="1"/>
  <c r="W9" i="6"/>
  <c r="AA9" i="6" s="1"/>
  <c r="AA7" i="6"/>
  <c r="W23" i="6"/>
  <c r="AA23" i="6" s="1"/>
  <c r="W49" i="6"/>
  <c r="AA49" i="6" s="1"/>
  <c r="W41" i="6"/>
  <c r="AA41" i="6" s="1"/>
  <c r="W33" i="6"/>
  <c r="AA33" i="6" s="1"/>
  <c r="W20" i="6"/>
  <c r="AA20" i="6" s="1"/>
  <c r="W16" i="6"/>
  <c r="AA16" i="6" s="1"/>
  <c r="W12" i="6"/>
  <c r="AA12" i="6" s="1"/>
  <c r="W8" i="6"/>
  <c r="AA8" i="6" s="1"/>
  <c r="W19" i="6"/>
  <c r="AA19" i="6" s="1"/>
  <c r="W45" i="6"/>
  <c r="AA45" i="6" s="1"/>
  <c r="W37" i="6"/>
  <c r="AA37" i="6" s="1"/>
  <c r="W29" i="6"/>
  <c r="AA29" i="6" s="1"/>
  <c r="W26" i="6"/>
  <c r="AA26" i="6" s="1"/>
  <c r="W25" i="6"/>
  <c r="AA25" i="6" s="1"/>
  <c r="W24" i="6"/>
  <c r="AA24" i="6" s="1"/>
  <c r="W18" i="6"/>
  <c r="AA18" i="6" s="1"/>
  <c r="W14" i="6"/>
  <c r="AA14" i="6" s="1"/>
  <c r="W10" i="6"/>
  <c r="AA10" i="6" s="1"/>
  <c r="W17" i="6"/>
  <c r="AA17" i="6" s="1"/>
  <c r="I13" i="8" l="1"/>
  <c r="I31" i="8" s="1"/>
  <c r="I41" i="8"/>
  <c r="D13" i="5"/>
  <c r="D12" i="5"/>
  <c r="K11" i="5"/>
  <c r="B11" i="5"/>
  <c r="D11" i="5" s="1"/>
  <c r="L8" i="5"/>
  <c r="K8" i="5"/>
  <c r="L7" i="5"/>
  <c r="S18" i="4"/>
  <c r="S19" i="4" s="1"/>
  <c r="S20" i="4" s="1"/>
  <c r="S21" i="4" s="1"/>
  <c r="S22" i="4" s="1"/>
  <c r="S32" i="4"/>
  <c r="S33" i="4" s="1"/>
  <c r="S34" i="4" s="1"/>
  <c r="S35" i="4" s="1"/>
  <c r="S31" i="4"/>
  <c r="I31" i="4"/>
  <c r="I32" i="4" s="1"/>
  <c r="I33" i="4" s="1"/>
  <c r="I34" i="4" s="1"/>
  <c r="I35" i="4" s="1"/>
  <c r="I17" i="4"/>
  <c r="I18" i="4" s="1"/>
  <c r="I19" i="4" s="1"/>
  <c r="I20" i="4" s="1"/>
  <c r="I21" i="4" s="1"/>
  <c r="M31" i="4"/>
  <c r="C31" i="4"/>
  <c r="K38" i="4"/>
  <c r="A38" i="4"/>
  <c r="Q37" i="4"/>
  <c r="P37" i="4"/>
  <c r="N37" i="4"/>
  <c r="K37" i="4"/>
  <c r="G37" i="4"/>
  <c r="F37" i="4"/>
  <c r="D37" i="4"/>
  <c r="A37" i="4"/>
  <c r="K36" i="4"/>
  <c r="A36" i="4"/>
  <c r="Q35" i="4"/>
  <c r="P35" i="4"/>
  <c r="N35" i="4"/>
  <c r="K35" i="4"/>
  <c r="A35" i="4"/>
  <c r="K34" i="4"/>
  <c r="A34" i="4"/>
  <c r="P33" i="4"/>
  <c r="N33" i="4"/>
  <c r="Q33" i="4"/>
  <c r="K33" i="4"/>
  <c r="G33" i="4"/>
  <c r="F33" i="4"/>
  <c r="E33" i="4"/>
  <c r="D33" i="4"/>
  <c r="A33" i="4"/>
  <c r="Q32" i="4"/>
  <c r="P32" i="4"/>
  <c r="O32" i="4"/>
  <c r="N32" i="4"/>
  <c r="K32" i="4"/>
  <c r="G32" i="4"/>
  <c r="F32" i="4"/>
  <c r="E32" i="4"/>
  <c r="D32" i="4"/>
  <c r="A32" i="4"/>
  <c r="K31" i="4"/>
  <c r="A31" i="4"/>
  <c r="M24" i="4"/>
  <c r="M20" i="4"/>
  <c r="M19" i="4"/>
  <c r="M17" i="4"/>
  <c r="K24" i="4"/>
  <c r="Q23" i="4"/>
  <c r="P23" i="4"/>
  <c r="N23" i="4"/>
  <c r="K23" i="4"/>
  <c r="P22" i="4"/>
  <c r="K22" i="4"/>
  <c r="K21" i="4"/>
  <c r="K20" i="4"/>
  <c r="K19" i="4"/>
  <c r="Q18" i="4"/>
  <c r="P18" i="4"/>
  <c r="O18" i="4"/>
  <c r="N18" i="4"/>
  <c r="K18" i="4"/>
  <c r="K17" i="4"/>
  <c r="A22" i="4"/>
  <c r="G9" i="4"/>
  <c r="Q36" i="4" s="1"/>
  <c r="F9" i="4"/>
  <c r="P36" i="4" s="1"/>
  <c r="D9" i="4"/>
  <c r="N22" i="4" s="1"/>
  <c r="F9" i="2"/>
  <c r="G9" i="2"/>
  <c r="D9" i="2"/>
  <c r="O11" i="1"/>
  <c r="R11" i="1" s="1"/>
  <c r="S11" i="1"/>
  <c r="K11" i="1"/>
  <c r="I42" i="8" l="1"/>
  <c r="I14" i="8"/>
  <c r="K9" i="5"/>
  <c r="M8" i="5"/>
  <c r="C8" i="7" s="1"/>
  <c r="L9" i="5"/>
  <c r="L10" i="5" s="1"/>
  <c r="L11" i="5" s="1"/>
  <c r="M11" i="5" s="1"/>
  <c r="C11" i="7" s="1"/>
  <c r="K7" i="5"/>
  <c r="M7" i="5" s="1"/>
  <c r="C7" i="7" s="1"/>
  <c r="F22" i="4"/>
  <c r="Q22" i="4"/>
  <c r="D36" i="4"/>
  <c r="N36" i="4"/>
  <c r="G22" i="4"/>
  <c r="F36" i="4"/>
  <c r="D22" i="4"/>
  <c r="G36" i="4"/>
  <c r="O33" i="4"/>
  <c r="C21" i="4"/>
  <c r="C20" i="4"/>
  <c r="C17" i="4"/>
  <c r="G24" i="4"/>
  <c r="F24" i="4"/>
  <c r="D24" i="4"/>
  <c r="A24" i="4"/>
  <c r="G23" i="4"/>
  <c r="F23" i="4"/>
  <c r="D23" i="4"/>
  <c r="A23" i="4"/>
  <c r="A21" i="4"/>
  <c r="A20" i="4"/>
  <c r="G19" i="4"/>
  <c r="F19" i="4"/>
  <c r="E19" i="4"/>
  <c r="D19" i="4"/>
  <c r="A19" i="4"/>
  <c r="G18" i="4"/>
  <c r="F18" i="4"/>
  <c r="E18" i="4"/>
  <c r="D18" i="4"/>
  <c r="A18" i="4"/>
  <c r="A17" i="4"/>
  <c r="G7" i="4"/>
  <c r="Q34" i="4" s="1"/>
  <c r="F7" i="4"/>
  <c r="P20" i="4" s="1"/>
  <c r="D7" i="4"/>
  <c r="G6" i="4"/>
  <c r="Q19" i="4" s="1"/>
  <c r="F6" i="4"/>
  <c r="P19" i="4" s="1"/>
  <c r="E6" i="4"/>
  <c r="O19" i="4" s="1"/>
  <c r="D6" i="4"/>
  <c r="N19" i="4" s="1"/>
  <c r="G5" i="4"/>
  <c r="F5" i="4"/>
  <c r="E5" i="4"/>
  <c r="D5" i="4"/>
  <c r="G4" i="4"/>
  <c r="Q31" i="4" s="1"/>
  <c r="F4" i="4"/>
  <c r="F31" i="4" s="1"/>
  <c r="E4" i="4"/>
  <c r="O31" i="4" s="1"/>
  <c r="D4" i="4"/>
  <c r="N17" i="4" s="1"/>
  <c r="K19" i="2"/>
  <c r="O25" i="2"/>
  <c r="N25" i="2"/>
  <c r="L25" i="2"/>
  <c r="I25" i="2"/>
  <c r="O24" i="2"/>
  <c r="N24" i="2"/>
  <c r="L24" i="2"/>
  <c r="I24" i="2"/>
  <c r="O23" i="2"/>
  <c r="N23" i="2"/>
  <c r="L23" i="2"/>
  <c r="I23" i="2"/>
  <c r="I22" i="2"/>
  <c r="O21" i="2"/>
  <c r="N21" i="2"/>
  <c r="M21" i="2"/>
  <c r="L21" i="2"/>
  <c r="I21" i="2"/>
  <c r="O20" i="2"/>
  <c r="N20" i="2"/>
  <c r="M20" i="2"/>
  <c r="L20" i="2"/>
  <c r="I20" i="2"/>
  <c r="I19" i="2"/>
  <c r="G25" i="2"/>
  <c r="F25" i="2"/>
  <c r="D25" i="2"/>
  <c r="A25" i="2"/>
  <c r="G24" i="2"/>
  <c r="F24" i="2"/>
  <c r="D24" i="2"/>
  <c r="A24" i="2"/>
  <c r="A23" i="2"/>
  <c r="G22" i="2"/>
  <c r="F22" i="2"/>
  <c r="D22" i="2"/>
  <c r="A22" i="2"/>
  <c r="A21" i="2"/>
  <c r="G20" i="2"/>
  <c r="F20" i="2"/>
  <c r="E20" i="2"/>
  <c r="D20" i="2"/>
  <c r="A20" i="2"/>
  <c r="F19" i="2"/>
  <c r="E19" i="2"/>
  <c r="D19" i="2"/>
  <c r="G19" i="2"/>
  <c r="A19" i="2"/>
  <c r="G40" i="2"/>
  <c r="F40" i="2"/>
  <c r="D40" i="2"/>
  <c r="G39" i="2"/>
  <c r="F39" i="2"/>
  <c r="D39" i="2"/>
  <c r="G37" i="2"/>
  <c r="F37" i="2"/>
  <c r="E37" i="2"/>
  <c r="D37" i="2"/>
  <c r="P41" i="2"/>
  <c r="P40" i="2"/>
  <c r="P39" i="2"/>
  <c r="P37" i="2"/>
  <c r="P36" i="2"/>
  <c r="O41" i="2"/>
  <c r="O40" i="2"/>
  <c r="O39" i="2"/>
  <c r="O37" i="2"/>
  <c r="O36" i="2"/>
  <c r="N37" i="2"/>
  <c r="N36" i="2"/>
  <c r="M41" i="2"/>
  <c r="M40" i="2"/>
  <c r="M39" i="2"/>
  <c r="M37" i="2"/>
  <c r="M36" i="2"/>
  <c r="L35" i="2"/>
  <c r="A41" i="2"/>
  <c r="A40" i="2"/>
  <c r="A39" i="2"/>
  <c r="A38" i="2"/>
  <c r="A37" i="2"/>
  <c r="A36" i="2"/>
  <c r="A35" i="2"/>
  <c r="I32" i="8" l="1"/>
  <c r="I43" i="8"/>
  <c r="K10" i="5"/>
  <c r="M10" i="5" s="1"/>
  <c r="C10" i="7" s="1"/>
  <c r="M9" i="5"/>
  <c r="G31" i="4"/>
  <c r="F34" i="4"/>
  <c r="P34" i="4"/>
  <c r="O17" i="4"/>
  <c r="O25" i="4" s="1"/>
  <c r="E31" i="4"/>
  <c r="E39" i="4" s="1"/>
  <c r="O39" i="4"/>
  <c r="N31" i="4"/>
  <c r="N34" i="4"/>
  <c r="N20" i="4"/>
  <c r="D34" i="4"/>
  <c r="Q20" i="4"/>
  <c r="G34" i="4"/>
  <c r="P17" i="4"/>
  <c r="P31" i="4"/>
  <c r="Q17" i="4"/>
  <c r="D31" i="4"/>
  <c r="D17" i="4"/>
  <c r="G17" i="4"/>
  <c r="E17" i="4"/>
  <c r="E25" i="4" s="1"/>
  <c r="G20" i="4"/>
  <c r="F17" i="4"/>
  <c r="D20" i="4"/>
  <c r="F20" i="4"/>
  <c r="E6" i="2"/>
  <c r="E21" i="2" s="1"/>
  <c r="E26" i="2" s="1"/>
  <c r="E5" i="2"/>
  <c r="E4" i="2"/>
  <c r="E51" i="2" s="1"/>
  <c r="E58" i="2" s="1"/>
  <c r="D6" i="2"/>
  <c r="D21" i="2" s="1"/>
  <c r="D5" i="2"/>
  <c r="D4" i="2"/>
  <c r="D51" i="2" s="1"/>
  <c r="G5" i="2"/>
  <c r="G6" i="2"/>
  <c r="G21" i="2" s="1"/>
  <c r="F6" i="2"/>
  <c r="F21" i="2" s="1"/>
  <c r="F5" i="2"/>
  <c r="G4" i="2"/>
  <c r="G51" i="2" s="1"/>
  <c r="F4" i="2"/>
  <c r="F51" i="2" s="1"/>
  <c r="G36" i="2" l="1"/>
  <c r="P52" i="2"/>
  <c r="F36" i="2"/>
  <c r="O52" i="2"/>
  <c r="E36" i="2"/>
  <c r="N52" i="2"/>
  <c r="N58" i="2" s="1"/>
  <c r="D36" i="2"/>
  <c r="M52" i="2"/>
  <c r="M12" i="5"/>
  <c r="C9" i="7"/>
  <c r="C12" i="7" s="1"/>
  <c r="G35" i="2"/>
  <c r="P35" i="2"/>
  <c r="M35" i="2"/>
  <c r="D35" i="2"/>
  <c r="M19" i="2"/>
  <c r="M26" i="2" s="1"/>
  <c r="N35" i="2"/>
  <c r="E35" i="2"/>
  <c r="L19" i="2"/>
  <c r="F35" i="2"/>
  <c r="O35" i="2"/>
  <c r="N19" i="2"/>
  <c r="O19" i="2"/>
  <c r="J41" i="2"/>
  <c r="J40" i="2"/>
  <c r="J39" i="2"/>
  <c r="J38" i="2"/>
  <c r="J37" i="2"/>
  <c r="J36" i="2"/>
  <c r="J35" i="2"/>
  <c r="K10" i="1"/>
  <c r="D8" i="4" s="1"/>
  <c r="K9" i="1"/>
  <c r="K13" i="1"/>
  <c r="D11" i="4" s="1"/>
  <c r="K12" i="1"/>
  <c r="M7" i="1"/>
  <c r="Q7" i="1" s="1"/>
  <c r="K7" i="1"/>
  <c r="M6" i="1"/>
  <c r="Q6" i="1" s="1"/>
  <c r="K6" i="1"/>
  <c r="M4" i="1"/>
  <c r="Q4" i="1" s="1"/>
  <c r="L4" i="1"/>
  <c r="K4" i="1"/>
  <c r="I10" i="1"/>
  <c r="I9" i="1"/>
  <c r="I13" i="1"/>
  <c r="I12" i="1"/>
  <c r="I7" i="1"/>
  <c r="I6" i="1"/>
  <c r="I4" i="1"/>
  <c r="E42" i="2" l="1"/>
  <c r="D35" i="4"/>
  <c r="N21" i="4"/>
  <c r="D21" i="4"/>
  <c r="D25" i="4" s="1"/>
  <c r="N24" i="4"/>
  <c r="N25" i="4" s="1"/>
  <c r="D38" i="4"/>
  <c r="D39" i="4" s="1"/>
  <c r="N38" i="4"/>
  <c r="N39" i="4" s="1"/>
  <c r="O12" i="1"/>
  <c r="R12" i="1" s="1"/>
  <c r="D10" i="4"/>
  <c r="D10" i="2"/>
  <c r="S12" i="1"/>
  <c r="O10" i="1"/>
  <c r="R10" i="1" s="1"/>
  <c r="D8" i="2"/>
  <c r="D23" i="2" s="1"/>
  <c r="D26" i="2" s="1"/>
  <c r="S10" i="1"/>
  <c r="O13" i="1"/>
  <c r="R13" i="1" s="1"/>
  <c r="S13" i="1"/>
  <c r="D11" i="2"/>
  <c r="O9" i="1"/>
  <c r="R9" i="1" s="1"/>
  <c r="F7" i="2" s="1"/>
  <c r="D7" i="2"/>
  <c r="S9" i="1"/>
  <c r="G7" i="2" s="1"/>
  <c r="O4" i="1"/>
  <c r="S5" i="1"/>
  <c r="S4" i="1"/>
  <c r="P4" i="1"/>
  <c r="O7" i="1"/>
  <c r="S7" i="1"/>
  <c r="O6" i="1"/>
  <c r="S6" i="1"/>
  <c r="N42" i="2"/>
  <c r="F54" i="2" l="1"/>
  <c r="O54" i="2"/>
  <c r="P54" i="2"/>
  <c r="G54" i="2"/>
  <c r="D41" i="2"/>
  <c r="D57" i="2"/>
  <c r="M57" i="2"/>
  <c r="D54" i="2"/>
  <c r="M54" i="2"/>
  <c r="M58" i="2" s="1"/>
  <c r="G8" i="2"/>
  <c r="G23" i="2" s="1"/>
  <c r="G26" i="2" s="1"/>
  <c r="G8" i="4"/>
  <c r="F8" i="2"/>
  <c r="F23" i="2" s="1"/>
  <c r="F26" i="2" s="1"/>
  <c r="F8" i="4"/>
  <c r="G10" i="4"/>
  <c r="G10" i="2"/>
  <c r="M38" i="2"/>
  <c r="M42" i="2" s="1"/>
  <c r="L22" i="2"/>
  <c r="L26" i="2" s="1"/>
  <c r="D38" i="2"/>
  <c r="D42" i="2" s="1"/>
  <c r="F11" i="2"/>
  <c r="F11" i="4"/>
  <c r="F10" i="4"/>
  <c r="F10" i="2"/>
  <c r="O22" i="2"/>
  <c r="O26" i="2" s="1"/>
  <c r="G38" i="2"/>
  <c r="P38" i="2"/>
  <c r="P42" i="2" s="1"/>
  <c r="G11" i="2"/>
  <c r="G11" i="4"/>
  <c r="O38" i="2"/>
  <c r="O42" i="2" s="1"/>
  <c r="N22" i="2"/>
  <c r="N26" i="2" s="1"/>
  <c r="F38" i="2"/>
  <c r="R4" i="1"/>
  <c r="R7" i="1"/>
  <c r="R6" i="1"/>
  <c r="D58" i="2" l="1"/>
  <c r="F41" i="2"/>
  <c r="F57" i="2"/>
  <c r="F58" i="2" s="1"/>
  <c r="O57" i="2"/>
  <c r="G41" i="2"/>
  <c r="P57" i="2"/>
  <c r="P58" i="2" s="1"/>
  <c r="G57" i="2"/>
  <c r="G58" i="2" s="1"/>
  <c r="O58" i="2"/>
  <c r="F21" i="4"/>
  <c r="F25" i="4" s="1"/>
  <c r="F35" i="4"/>
  <c r="P21" i="4"/>
  <c r="P25" i="4" s="1"/>
  <c r="F38" i="4"/>
  <c r="P24" i="4"/>
  <c r="P38" i="4"/>
  <c r="P39" i="4" s="1"/>
  <c r="G38" i="4"/>
  <c r="Q38" i="4"/>
  <c r="Q39" i="4" s="1"/>
  <c r="Q24" i="4"/>
  <c r="G21" i="4"/>
  <c r="G25" i="4" s="1"/>
  <c r="G35" i="4"/>
  <c r="G39" i="4" s="1"/>
  <c r="Q21" i="4"/>
  <c r="Q25" i="4" s="1"/>
  <c r="G42" i="2"/>
  <c r="G43" i="2" s="1"/>
  <c r="F42" i="2"/>
  <c r="F43" i="2" s="1"/>
  <c r="F39" i="4" l="1"/>
</calcChain>
</file>

<file path=xl/sharedStrings.xml><?xml version="1.0" encoding="utf-8"?>
<sst xmlns="http://schemas.openxmlformats.org/spreadsheetml/2006/main" count="688" uniqueCount="216">
  <si>
    <t>Solaio</t>
  </si>
  <si>
    <t>spessore</t>
  </si>
  <si>
    <t>cm</t>
  </si>
  <si>
    <t>peso proprio</t>
  </si>
  <si>
    <t>kN/m2</t>
  </si>
  <si>
    <t>valori caratteristici:</t>
  </si>
  <si>
    <t>pavimento, massetto, ecc.</t>
  </si>
  <si>
    <t>incidenza tramezzi</t>
  </si>
  <si>
    <t>carico variabile</t>
  </si>
  <si>
    <t>Balconi e terrazzini</t>
  </si>
  <si>
    <t>Scala</t>
  </si>
  <si>
    <t>per entrambe</t>
  </si>
  <si>
    <t>g1k</t>
  </si>
  <si>
    <t>g2k</t>
  </si>
  <si>
    <t>qk</t>
  </si>
  <si>
    <t>Tramezzi</t>
  </si>
  <si>
    <t>kN/m</t>
  </si>
  <si>
    <t>Tamponature</t>
  </si>
  <si>
    <t>Trave emergente</t>
  </si>
  <si>
    <t>larghezza</t>
  </si>
  <si>
    <t>altezza</t>
  </si>
  <si>
    <t>Trave a spessore</t>
  </si>
  <si>
    <t>RIEPILOGO CARICHI UNITARI</t>
  </si>
  <si>
    <t>---</t>
  </si>
  <si>
    <t>g1d</t>
  </si>
  <si>
    <t>g2d</t>
  </si>
  <si>
    <t>qd</t>
  </si>
  <si>
    <t>gd+qd</t>
  </si>
  <si>
    <t>carico</t>
  </si>
  <si>
    <t>sviluppo</t>
  </si>
  <si>
    <t>TOTALE</t>
  </si>
  <si>
    <t>TRAVE</t>
  </si>
  <si>
    <t>Campata</t>
  </si>
  <si>
    <t>Solaio piano tipo</t>
  </si>
  <si>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</t>
    </r>
  </si>
  <si>
    <t>senza tramezzi</t>
  </si>
  <si>
    <t>in cemento armato</t>
  </si>
  <si>
    <t>in c.a.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</si>
  <si>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 qk</t>
    </r>
  </si>
  <si>
    <t>g2k+qk</t>
  </si>
  <si>
    <t>8-5 e 5-2</t>
  </si>
  <si>
    <t>21-14</t>
  </si>
  <si>
    <t>16-17</t>
  </si>
  <si>
    <t>PILASTRO</t>
  </si>
  <si>
    <t>Pilastri</t>
  </si>
  <si>
    <t>kN</t>
  </si>
  <si>
    <t>15 (centrale)</t>
  </si>
  <si>
    <t>16 (scala)</t>
  </si>
  <si>
    <t>7 (laterale)</t>
  </si>
  <si>
    <t>1 (angolo)</t>
  </si>
  <si>
    <t xml:space="preserve">     ordine</t>
  </si>
  <si>
    <t>N</t>
  </si>
  <si>
    <t>arrotondato</t>
  </si>
  <si>
    <t>con tramezzi</t>
  </si>
  <si>
    <t>Masse di piano</t>
  </si>
  <si>
    <t>Stima delle masse di piano</t>
  </si>
  <si>
    <t>Peso delle masse di piano</t>
  </si>
  <si>
    <t>piano</t>
  </si>
  <si>
    <t>peso un.</t>
  </si>
  <si>
    <t>W [kN]</t>
  </si>
  <si>
    <t>torrino</t>
  </si>
  <si>
    <t>5 + torrino</t>
  </si>
  <si>
    <t>quinto impalcato</t>
  </si>
  <si>
    <t>peso medio</t>
  </si>
  <si>
    <t>peso</t>
  </si>
  <si>
    <t>torrino + V impalcato</t>
  </si>
  <si>
    <t>piano tipo</t>
  </si>
  <si>
    <t>Totale</t>
  </si>
  <si>
    <t>primo piano</t>
  </si>
  <si>
    <t>suolo</t>
  </si>
  <si>
    <t>C</t>
  </si>
  <si>
    <t>SLV</t>
  </si>
  <si>
    <t>T1</t>
  </si>
  <si>
    <t>SLD</t>
  </si>
  <si>
    <t>m</t>
  </si>
  <si>
    <t>C1</t>
  </si>
  <si>
    <t>s</t>
  </si>
  <si>
    <r>
      <t>gk+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2 qk</t>
    </r>
  </si>
  <si>
    <t>h [m]</t>
  </si>
  <si>
    <t>Spettri di risposta</t>
  </si>
  <si>
    <t>progetto</t>
  </si>
  <si>
    <t>Località</t>
  </si>
  <si>
    <t>Piazza Cairoli, Messina</t>
  </si>
  <si>
    <t>Parametri</t>
  </si>
  <si>
    <t>SLO</t>
  </si>
  <si>
    <t>SLC</t>
  </si>
  <si>
    <r>
      <t>per S</t>
    </r>
    <r>
      <rPr>
        <vertAlign val="subscript"/>
        <sz val="10"/>
        <rFont val="Arial"/>
        <family val="2"/>
      </rPr>
      <t>S</t>
    </r>
  </si>
  <si>
    <t>T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</si>
  <si>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</si>
  <si>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t>Pericolosità sismica</t>
  </si>
  <si>
    <r>
      <t>per C</t>
    </r>
    <r>
      <rPr>
        <vertAlign val="subscript"/>
        <sz val="10"/>
        <rFont val="Arial"/>
        <family val="2"/>
      </rPr>
      <t>C</t>
    </r>
  </si>
  <si>
    <t>stato limite</t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</si>
  <si>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</si>
  <si>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</si>
  <si>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</si>
  <si>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</si>
  <si>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h</t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</si>
  <si>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</si>
  <si>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</si>
  <si>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t>categoria topografica</t>
  </si>
  <si>
    <t>smorzamento</t>
  </si>
  <si>
    <t>Si ottiene:</t>
  </si>
  <si>
    <t>S</t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</si>
  <si>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</si>
  <si>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</si>
  <si>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</si>
  <si>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</si>
  <si>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</si>
  <si>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</si>
  <si>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periodo fondamentale T1</t>
  </si>
  <si>
    <t>SLV/SLO</t>
  </si>
  <si>
    <t>1.5 SLV/SLD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</si>
  <si>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</si>
  <si>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</si>
  <si>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fattore di comportamento q</t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</si>
  <si>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</si>
  <si>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t>Calcolo delle azioni sismiche (forze per analisi statica)</t>
  </si>
  <si>
    <r>
      <t>area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</si>
  <si>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area</t>
  </si>
  <si>
    <t>(in base alle formule di normativa)</t>
  </si>
  <si>
    <t>classe duttilità CD</t>
  </si>
  <si>
    <t>A</t>
  </si>
  <si>
    <t>regolare in pianta</t>
  </si>
  <si>
    <t>si</t>
  </si>
  <si>
    <t>regolare in altezza</t>
  </si>
  <si>
    <t>Parametri scelti</t>
  </si>
  <si>
    <t>q0</t>
  </si>
  <si>
    <t>si può usare   q =</t>
  </si>
  <si>
    <t xml:space="preserve">Si sceglie </t>
  </si>
  <si>
    <t>au /a1</t>
  </si>
  <si>
    <t>KR</t>
  </si>
  <si>
    <t>q</t>
  </si>
  <si>
    <t>z</t>
  </si>
  <si>
    <t>Stima periodo</t>
  </si>
  <si>
    <t>H edificio</t>
  </si>
  <si>
    <t>Valori forniti dal foglio Spettri di risposta</t>
  </si>
  <si>
    <t>per SLV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</si>
  <si>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</si>
  <si>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t>g</t>
  </si>
  <si>
    <t>per SLD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</si>
  <si>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 =</t>
    </r>
  </si>
  <si>
    <r>
      <t>Riepilogo parametri</t>
    </r>
    <r>
      <rPr>
        <sz val="11"/>
        <rFont val="Calibri"/>
        <family val="2"/>
        <scheme val="minor"/>
      </rPr>
      <t xml:space="preserve"> - dal foglio Masse</t>
    </r>
  </si>
  <si>
    <t>Forze orizzontali</t>
  </si>
  <si>
    <t>W</t>
  </si>
  <si>
    <t>Wz</t>
  </si>
  <si>
    <t>Fi</t>
  </si>
  <si>
    <t>Vi</t>
  </si>
  <si>
    <t>Fh</t>
  </si>
  <si>
    <t>rapporto SLD/SLV</t>
  </si>
  <si>
    <t>Caratteristiche della sollecitazione - prima previsione</t>
  </si>
  <si>
    <t>I dati sono presi dal foglio Forze</t>
  </si>
  <si>
    <t>duttilità</t>
  </si>
  <si>
    <t>Sisma in direzione x</t>
  </si>
  <si>
    <t>n.pilastri</t>
  </si>
  <si>
    <t>Ltra</t>
  </si>
  <si>
    <t>Risoluzione dello schema base, traslante</t>
  </si>
  <si>
    <r>
      <t xml:space="preserve">Vi </t>
    </r>
    <r>
      <rPr>
        <sz val="8"/>
        <rFont val="Arial"/>
        <family val="2"/>
      </rPr>
      <t>TOT</t>
    </r>
  </si>
  <si>
    <t>hi</t>
  </si>
  <si>
    <t>n.pil</t>
  </si>
  <si>
    <t>Mpil</t>
  </si>
  <si>
    <t>Mtra</t>
  </si>
  <si>
    <t>Vtra</t>
  </si>
  <si>
    <r>
      <t>D</t>
    </r>
    <r>
      <rPr>
        <sz val="11"/>
        <color theme="1"/>
        <rFont val="Calibri"/>
        <family val="2"/>
        <scheme val="minor"/>
      </rPr>
      <t>Npil</t>
    </r>
  </si>
  <si>
    <t>1 testa</t>
  </si>
  <si>
    <t>1 piede</t>
  </si>
  <si>
    <t>Incremento per eccentricità (solo telai eccentrici)</t>
  </si>
  <si>
    <t>Incremento per gerarchia delle resistenze</t>
  </si>
  <si>
    <t>incr.</t>
  </si>
  <si>
    <t>Sisma in direzione y</t>
  </si>
  <si>
    <t>Valori a filo pilastro/trave</t>
  </si>
  <si>
    <t>Travi e pilastri che sono ritenuti più sollecitati</t>
  </si>
  <si>
    <t>e quindi usati per il dimensionamento</t>
  </si>
  <si>
    <t>Travi emergenti</t>
  </si>
  <si>
    <t>(le travi a spessore sono verificate per soli carichi verticali)</t>
  </si>
  <si>
    <t>sisma</t>
  </si>
  <si>
    <t>M =</t>
  </si>
  <si>
    <t>kNm</t>
  </si>
  <si>
    <t>perché la trave è molto lontana dal baricentro</t>
  </si>
  <si>
    <t>car.vert.</t>
  </si>
  <si>
    <t>al piano terra è quasi scarica</t>
  </si>
  <si>
    <t>TOT</t>
  </si>
  <si>
    <r>
      <t>M</t>
    </r>
    <r>
      <rPr>
        <sz val="8"/>
        <rFont val="Arial"/>
        <family val="2"/>
      </rPr>
      <t>Ed</t>
    </r>
    <r>
      <rPr>
        <sz val="10"/>
        <rFont val="Arial"/>
        <family val="2"/>
      </rPr>
      <t xml:space="preserve"> =</t>
    </r>
  </si>
  <si>
    <t>trave</t>
  </si>
  <si>
    <t>impalcato</t>
  </si>
  <si>
    <t>direzione</t>
  </si>
  <si>
    <t>y</t>
  </si>
  <si>
    <t>porta sbalzo laterale</t>
  </si>
  <si>
    <t>necessaria 30x60</t>
  </si>
  <si>
    <t>x</t>
  </si>
  <si>
    <t>perché la trave è vicina al baricentro</t>
  </si>
  <si>
    <t>porta due campate di solaio</t>
  </si>
  <si>
    <t>basterebbe 30x50</t>
  </si>
  <si>
    <t>pilastro</t>
  </si>
  <si>
    <t>ordine</t>
  </si>
  <si>
    <t>1 - piede</t>
  </si>
  <si>
    <t>perché il pilastro è abbastanza lontano dal baricentro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</si>
  <si>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N =</t>
    </r>
  </si>
  <si>
    <t>perché è tra due travi emergenti</t>
  </si>
  <si>
    <t>N =</t>
  </si>
  <si>
    <t>perimetrale non di bordo</t>
  </si>
  <si>
    <r>
      <t>N</t>
    </r>
    <r>
      <rPr>
        <sz val="8"/>
        <rFont val="Arial"/>
        <family val="2"/>
      </rPr>
      <t>Ed,min</t>
    </r>
    <r>
      <rPr>
        <sz val="10"/>
        <rFont val="Arial"/>
        <family val="2"/>
      </rPr>
      <t xml:space="preserve"> =</t>
    </r>
  </si>
  <si>
    <r>
      <t>N</t>
    </r>
    <r>
      <rPr>
        <sz val="8"/>
        <rFont val="Arial"/>
        <family val="2"/>
      </rPr>
      <t>Ed,max</t>
    </r>
    <r>
      <rPr>
        <sz val="10"/>
        <rFont val="Arial"/>
        <family val="2"/>
      </rPr>
      <t xml:space="preserve"> =</t>
    </r>
  </si>
  <si>
    <t>perché è abbastanza lontano dal baricentro, ma una sola trave emergente</t>
  </si>
  <si>
    <t>perché ha una sola trave emergente</t>
  </si>
  <si>
    <t>d'angolo</t>
  </si>
  <si>
    <t>17-18, 18-19, 19-20</t>
  </si>
  <si>
    <t>2y (22…2)</t>
  </si>
  <si>
    <t>2x (14…20)</t>
  </si>
  <si>
    <t>1y (21…1)</t>
  </si>
  <si>
    <t>27-20</t>
  </si>
  <si>
    <t>7y (27…13) - impalcato 1</t>
  </si>
  <si>
    <t>7y (27…13) - impalcato 2</t>
  </si>
  <si>
    <t>Stima momento (q l^2 / 10)</t>
  </si>
  <si>
    <t>luce</t>
  </si>
  <si>
    <t>M</t>
  </si>
  <si>
    <t>Vpil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</si>
</sst>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\ \ \ \ \ #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10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name val="Symbol"/>
      <family val="1"/>
      <charset val="2"/>
    </font>
    <font>
      <sz val="11"/>
      <color theme="1"/>
      <name val="Arial"/>
      <family val="2"/>
    </font>
    <font>
      <sz val="8"/>
      <color theme="1"/>
      <name val="Arial"/>
      <family val="2"/>
    </font>
    <font>
      <vertAlign val="super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" fontId="0" fillId="2" borderId="0" xfId="0" applyNumberFormat="1" applyFill="1" applyAlignment="1" applyProtection="1">
      <alignment horizontal="center"/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/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164" fontId="0" fillId="2" borderId="0" xfId="0" applyNumberFormat="1" applyFill="1" applyAlignment="1" applyProtection="1">
      <alignment horizontal="center"/>
      <protection locked="0"/>
    </xf>
    <xf numFmtId="164" fontId="5" fillId="2" borderId="0" xfId="0" applyNumberFormat="1" applyFont="1" applyFill="1" applyAlignment="1" applyProtection="1">
      <alignment horizontal="center"/>
      <protection locked="0"/>
    </xf>
    <xf numFmtId="0" fontId="9" fillId="0" borderId="0" xfId="1" applyFont="1"/>
    <xf numFmtId="0" fontId="10" fillId="0" borderId="0" xfId="1" applyFont="1"/>
    <xf numFmtId="0" fontId="10" fillId="0" borderId="0" xfId="1" applyFont="1" applyAlignment="1">
      <alignment horizontal="center"/>
    </xf>
    <xf numFmtId="164" fontId="10" fillId="0" borderId="0" xfId="1" applyNumberFormat="1" applyFont="1" applyAlignment="1">
      <alignment horizontal="center"/>
    </xf>
    <xf numFmtId="1" fontId="10" fillId="0" borderId="0" xfId="1" applyNumberFormat="1" applyFont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2" fontId="10" fillId="0" borderId="0" xfId="1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quotePrefix="1" applyFont="1" applyAlignment="1">
      <alignment horizontal="center"/>
    </xf>
    <xf numFmtId="2" fontId="0" fillId="2" borderId="0" xfId="0" applyNumberFormat="1" applyFont="1" applyFill="1" applyAlignment="1" applyProtection="1">
      <alignment horizontal="center"/>
      <protection locked="0"/>
    </xf>
    <xf numFmtId="165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1" fontId="0" fillId="2" borderId="0" xfId="0" applyNumberFormat="1" applyFont="1" applyFill="1" applyAlignment="1" applyProtection="1">
      <alignment horizontal="center"/>
      <protection locked="0"/>
    </xf>
    <xf numFmtId="0" fontId="0" fillId="2" borderId="0" xfId="0" applyNumberFormat="1" applyFont="1" applyFill="1" applyAlignment="1" applyProtection="1">
      <alignment horizontal="center"/>
      <protection locked="0"/>
    </xf>
    <xf numFmtId="2" fontId="10" fillId="0" borderId="1" xfId="1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Border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166" fontId="6" fillId="2" borderId="0" xfId="0" applyNumberFormat="1" applyFont="1" applyFill="1" applyBorder="1" applyAlignment="1" applyProtection="1">
      <alignment horizontal="center" vertical="center"/>
      <protection locked="0"/>
    </xf>
    <xf numFmtId="9" fontId="6" fillId="2" borderId="0" xfId="0" applyNumberFormat="1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166" fontId="6" fillId="3" borderId="0" xfId="0" applyNumberFormat="1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3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" fontId="10" fillId="0" borderId="1" xfId="1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0" fillId="2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0" fontId="20" fillId="0" borderId="0" xfId="1" applyFont="1"/>
    <xf numFmtId="0" fontId="21" fillId="0" borderId="0" xfId="0" applyFont="1"/>
    <xf numFmtId="1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0" fontId="7" fillId="0" borderId="0" xfId="1" applyFont="1"/>
    <xf numFmtId="0" fontId="6" fillId="0" borderId="0" xfId="1"/>
    <xf numFmtId="0" fontId="6" fillId="0" borderId="0" xfId="1" applyFont="1"/>
    <xf numFmtId="0" fontId="6" fillId="0" borderId="0" xfId="1" applyFont="1" applyAlignment="1">
      <alignment horizontal="center"/>
    </xf>
    <xf numFmtId="0" fontId="21" fillId="0" borderId="0" xfId="1" applyFont="1"/>
    <xf numFmtId="0" fontId="8" fillId="0" borderId="0" xfId="1" applyFont="1" applyAlignment="1">
      <alignment horizontal="center"/>
    </xf>
    <xf numFmtId="0" fontId="6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6" fillId="0" borderId="0" xfId="1" applyAlignment="1">
      <alignment horizontal="center"/>
    </xf>
    <xf numFmtId="2" fontId="6" fillId="0" borderId="0" xfId="1" applyNumberFormat="1" applyAlignment="1">
      <alignment horizontal="center"/>
    </xf>
    <xf numFmtId="164" fontId="6" fillId="0" borderId="0" xfId="1" applyNumberFormat="1" applyAlignment="1">
      <alignment horizontal="center"/>
    </xf>
    <xf numFmtId="0" fontId="6" fillId="0" borderId="0" xfId="1" applyFont="1" applyAlignment="1">
      <alignment horizontal="center" vertical="center" wrapText="1"/>
    </xf>
    <xf numFmtId="2" fontId="10" fillId="2" borderId="0" xfId="0" applyNumberFormat="1" applyFont="1" applyFill="1" applyAlignment="1" applyProtection="1">
      <alignment horizontal="center" vertical="center"/>
      <protection locked="0"/>
    </xf>
    <xf numFmtId="0" fontId="6" fillId="0" borderId="0" xfId="1" applyFont="1" applyAlignment="1">
      <alignment horizontal="left"/>
    </xf>
    <xf numFmtId="0" fontId="8" fillId="0" borderId="0" xfId="1" applyFont="1"/>
    <xf numFmtId="0" fontId="21" fillId="0" borderId="0" xfId="1" applyFont="1" applyAlignment="1">
      <alignment horizontal="left"/>
    </xf>
    <xf numFmtId="1" fontId="6" fillId="0" borderId="0" xfId="1" applyNumberFormat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'Spettri di risposta'!$I$7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681"/>
          <c:y val="1.7777777777777781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0.61099999999999999</c:v>
                </c:pt>
                <c:pt idx="1">
                  <c:v>0.61099999999999999</c:v>
                </c:pt>
                <c:pt idx="2">
                  <c:v>0.61099999999999999</c:v>
                </c:pt>
                <c:pt idx="3">
                  <c:v>0.61099999999999999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0.15815286613930676</c:v>
                </c:pt>
                <c:pt idx="1">
                  <c:v>0.21458445911663462</c:v>
                </c:pt>
                <c:pt idx="2">
                  <c:v>0.69895013179366716</c:v>
                </c:pt>
                <c:pt idx="3">
                  <c:v>0.90058030635901176</c:v>
                </c:pt>
              </c:numCache>
            </c:numRef>
          </c:yVal>
          <c:smooth val="0"/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smooth val="0"/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smooth val="0"/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3912432"/>
        <c:axId val="-1013904816"/>
      </c:scatterChart>
      <c:valAx>
        <c:axId val="-1013912432"/>
        <c:scaling>
          <c:orientation val="minMax"/>
          <c:max val="3"/>
          <c:min val="0"/>
        </c:scaling>
        <c:delete val="0"/>
        <c:axPos val="b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013904816"/>
        <c:crosses val="autoZero"/>
        <c:crossBetween val="midCat"/>
      </c:valAx>
      <c:valAx>
        <c:axId val="-101390481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013912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11"/>
          <c:y val="0.16817637795275581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0.61099999999999999</c:v>
                </c:pt>
                <c:pt idx="1">
                  <c:v>0.61099999999999999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0.69895013179366716</c:v>
                </c:pt>
                <c:pt idx="1">
                  <c:v>0.11947865500746449</c:v>
                </c:pt>
              </c:numCache>
            </c:numRef>
          </c:yVal>
          <c:smooth val="0"/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smooth val="0"/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smooth val="0"/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smooth val="0"/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smooth val="0"/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13916240"/>
        <c:axId val="-1013905360"/>
      </c:scatterChart>
      <c:valAx>
        <c:axId val="-1013916240"/>
        <c:scaling>
          <c:orientation val="minMax"/>
          <c:max val="3"/>
          <c:min val="0"/>
        </c:scaling>
        <c:delete val="0"/>
        <c:axPos val="b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013905360"/>
        <c:crosses val="autoZero"/>
        <c:crossBetween val="midCat"/>
      </c:valAx>
      <c:valAx>
        <c:axId val="-1013905360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-1013916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81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  <cdr:relSizeAnchor xmlns:cdr="http://schemas.openxmlformats.org/drawingml/2006/chartDrawing">
    <cdr:from>
      <cdr:x>0.00313</cdr:x>
      <cdr:y>0.13667</cdr:y>
    </cdr:from>
    <cdr:to>
      <cdr:x>0.10845</cdr:x>
      <cdr:y>0.255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14288" y="390525"/>
          <a:ext cx="481012" cy="33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400" i="1">
              <a:latin typeface="Century Schoolbook" panose="02040604050505020304" pitchFamily="18" charset="0"/>
            </a:rPr>
            <a:t>a</a:t>
          </a:r>
          <a:r>
            <a:rPr lang="it-IT" sz="1400" i="1" baseline="-25000">
              <a:latin typeface="Century Schoolbook" panose="02040604050505020304" pitchFamily="18" charset="0"/>
            </a:rPr>
            <a:t>g</a:t>
          </a:r>
        </a:p>
      </cdr:txBody>
    </cdr:sp>
  </cdr:relSizeAnchor>
  <cdr:relSizeAnchor xmlns:cdr="http://schemas.openxmlformats.org/drawingml/2006/chartDrawing">
    <cdr:from>
      <cdr:x>0.81613</cdr:x>
      <cdr:y>0.88088</cdr:y>
    </cdr:from>
    <cdr:to>
      <cdr:x>0.96246</cdr:x>
      <cdr:y>0.98167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3727449" y="2517113"/>
          <a:ext cx="668337" cy="28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 i="1">
              <a:latin typeface="Century Schoolbook" panose="02040604050505020304" pitchFamily="18" charset="0"/>
            </a:rPr>
            <a:t>T </a:t>
          </a:r>
          <a:r>
            <a:rPr lang="it-IT" sz="1400" i="0">
              <a:latin typeface="Century Schoolbook" panose="02040604050505020304" pitchFamily="18" charset="0"/>
            </a:rPr>
            <a:t>[s]</a:t>
          </a:r>
          <a:endParaRPr lang="it-IT" sz="1400" i="0" baseline="-25000">
            <a:latin typeface="Century Schoolbook" panose="02040604050505020304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  <cdr:relSizeAnchor xmlns:cdr="http://schemas.openxmlformats.org/drawingml/2006/chartDrawing">
    <cdr:from>
      <cdr:x>0.00382</cdr:x>
      <cdr:y>0.13278</cdr:y>
    </cdr:from>
    <cdr:to>
      <cdr:x>0.10914</cdr:x>
      <cdr:y>0.25111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7463" y="379412"/>
          <a:ext cx="481012" cy="338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 i="1">
              <a:latin typeface="Century Schoolbook" panose="02040604050505020304" pitchFamily="18" charset="0"/>
            </a:rPr>
            <a:t>a</a:t>
          </a:r>
          <a:r>
            <a:rPr lang="it-IT" sz="1400" i="1" baseline="-25000">
              <a:latin typeface="Century Schoolbook" panose="02040604050505020304" pitchFamily="18" charset="0"/>
            </a:rPr>
            <a:t>g</a:t>
          </a:r>
        </a:p>
      </cdr:txBody>
    </cdr:sp>
  </cdr:relSizeAnchor>
  <cdr:relSizeAnchor xmlns:cdr="http://schemas.openxmlformats.org/drawingml/2006/chartDrawing">
    <cdr:from>
      <cdr:x>0.81682</cdr:x>
      <cdr:y>0.87699</cdr:y>
    </cdr:from>
    <cdr:to>
      <cdr:x>0.96316</cdr:x>
      <cdr:y>0.97778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30624" y="2506000"/>
          <a:ext cx="668337" cy="28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 i="1">
              <a:latin typeface="Century Schoolbook" panose="02040604050505020304" pitchFamily="18" charset="0"/>
            </a:rPr>
            <a:t>T </a:t>
          </a:r>
          <a:r>
            <a:rPr lang="it-IT" sz="1400" i="0">
              <a:latin typeface="Century Schoolbook" panose="02040604050505020304" pitchFamily="18" charset="0"/>
            </a:rPr>
            <a:t>[s]</a:t>
          </a:r>
          <a:endParaRPr lang="it-IT" sz="1400" i="0" baseline="-25000">
            <a:latin typeface="Century Schoolbook" panose="020406040505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C3" workbookViewId="0">
      <selection activeCell="J25" sqref="J25"/>
    </sheetView>
  </sheetViews>
  <sheetFormatPr defaultRowHeight="14.25" x14ac:dyDescent="0.45"/>
  <cols>
    <col min="1" max="1" width="9.73046875" customWidth="1"/>
    <col min="4" max="4" width="4.73046875" style="2" customWidth="1"/>
    <col min="5" max="5" width="24.59765625" bestFit="1" customWidth="1"/>
    <col min="6" max="7" width="7.59765625" customWidth="1"/>
    <col min="8" max="8" width="5.59765625" customWidth="1"/>
    <col min="9" max="9" width="9.73046875" customWidth="1"/>
    <col min="10" max="10" width="14.73046875" customWidth="1"/>
    <col min="11" max="17" width="7.59765625" customWidth="1"/>
  </cols>
  <sheetData>
    <row r="1" spans="1:19" ht="15.75" x14ac:dyDescent="0.5">
      <c r="A1" s="5" t="s">
        <v>33</v>
      </c>
      <c r="E1" s="1" t="s">
        <v>5</v>
      </c>
      <c r="I1" s="5" t="s">
        <v>22</v>
      </c>
    </row>
    <row r="2" spans="1:19" x14ac:dyDescent="0.45">
      <c r="A2" t="s">
        <v>1</v>
      </c>
      <c r="B2" s="3">
        <v>22</v>
      </c>
      <c r="C2" t="s">
        <v>2</v>
      </c>
      <c r="D2" s="2" t="s">
        <v>12</v>
      </c>
      <c r="E2" t="s">
        <v>3</v>
      </c>
      <c r="F2" s="4">
        <v>2.5</v>
      </c>
      <c r="G2" t="s">
        <v>4</v>
      </c>
    </row>
    <row r="3" spans="1:19" ht="14.65" x14ac:dyDescent="0.45">
      <c r="D3" s="2" t="s">
        <v>12</v>
      </c>
      <c r="E3" t="s">
        <v>6</v>
      </c>
      <c r="F3" s="4">
        <v>1.5</v>
      </c>
      <c r="G3" t="s">
        <v>4</v>
      </c>
      <c r="K3" s="2" t="s">
        <v>12</v>
      </c>
      <c r="L3" s="2" t="s">
        <v>13</v>
      </c>
      <c r="M3" s="2" t="s">
        <v>14</v>
      </c>
      <c r="N3" s="2" t="s">
        <v>34</v>
      </c>
      <c r="O3" s="2" t="s">
        <v>24</v>
      </c>
      <c r="P3" s="2" t="s">
        <v>25</v>
      </c>
      <c r="Q3" s="2" t="s">
        <v>26</v>
      </c>
      <c r="R3" s="2" t="s">
        <v>27</v>
      </c>
      <c r="S3" s="2" t="s">
        <v>38</v>
      </c>
    </row>
    <row r="4" spans="1:19" ht="15.75" x14ac:dyDescent="0.5">
      <c r="D4" s="2" t="s">
        <v>13</v>
      </c>
      <c r="E4" t="s">
        <v>7</v>
      </c>
      <c r="F4" s="4">
        <v>1.2</v>
      </c>
      <c r="G4" t="s">
        <v>4</v>
      </c>
      <c r="I4" s="5" t="str">
        <f>A1</f>
        <v>Solaio piano tipo</v>
      </c>
      <c r="K4" s="6">
        <f>F2+F3</f>
        <v>4</v>
      </c>
      <c r="L4" s="6">
        <f>F4</f>
        <v>1.2</v>
      </c>
      <c r="M4" s="6">
        <f>F5</f>
        <v>2</v>
      </c>
      <c r="N4" s="11">
        <v>0.3</v>
      </c>
      <c r="O4" s="6">
        <f>K4*1.3</f>
        <v>5.2</v>
      </c>
      <c r="P4" s="6">
        <f>L4*1.5</f>
        <v>1.7999999999999998</v>
      </c>
      <c r="Q4" s="6">
        <f>M4*1.5</f>
        <v>3</v>
      </c>
      <c r="R4" s="6">
        <f>O4+P4+Q4</f>
        <v>10</v>
      </c>
      <c r="S4" s="6">
        <f>K4+L4+M4*N4</f>
        <v>5.8</v>
      </c>
    </row>
    <row r="5" spans="1:19" x14ac:dyDescent="0.45">
      <c r="D5" s="2" t="s">
        <v>14</v>
      </c>
      <c r="E5" t="s">
        <v>8</v>
      </c>
      <c r="F5" s="4">
        <v>2</v>
      </c>
      <c r="G5" t="s">
        <v>4</v>
      </c>
      <c r="J5" t="s">
        <v>35</v>
      </c>
      <c r="R5" s="6"/>
      <c r="S5" s="6">
        <f>K4+M4*N4</f>
        <v>4.5999999999999996</v>
      </c>
    </row>
    <row r="6" spans="1:19" ht="15.75" x14ac:dyDescent="0.5">
      <c r="I6" s="5" t="str">
        <f>A7</f>
        <v>Balconi e terrazzini</v>
      </c>
      <c r="K6" s="6">
        <f>F8+F9</f>
        <v>4</v>
      </c>
      <c r="L6" s="7" t="s">
        <v>23</v>
      </c>
      <c r="M6" s="6">
        <f>F10</f>
        <v>4</v>
      </c>
      <c r="N6" s="11">
        <v>0.6</v>
      </c>
      <c r="O6" s="6">
        <f>K6*1.3</f>
        <v>5.2</v>
      </c>
      <c r="P6" s="7" t="s">
        <v>23</v>
      </c>
      <c r="Q6" s="6">
        <f>M6*1.5</f>
        <v>6</v>
      </c>
      <c r="R6" s="6">
        <f>O6+Q6</f>
        <v>11.2</v>
      </c>
      <c r="S6" s="6">
        <f>K6+M6*N6</f>
        <v>6.4</v>
      </c>
    </row>
    <row r="7" spans="1:19" ht="15.75" x14ac:dyDescent="0.5">
      <c r="A7" s="5" t="s">
        <v>9</v>
      </c>
      <c r="E7" s="1" t="s">
        <v>5</v>
      </c>
      <c r="I7" s="5" t="str">
        <f>A12</f>
        <v>Scala</v>
      </c>
      <c r="J7" t="s">
        <v>37</v>
      </c>
      <c r="K7" s="6">
        <f>F13+F14</f>
        <v>5</v>
      </c>
      <c r="L7" s="7" t="s">
        <v>23</v>
      </c>
      <c r="M7" s="6">
        <f>F15</f>
        <v>4</v>
      </c>
      <c r="N7" s="11">
        <v>0.6</v>
      </c>
      <c r="O7" s="6">
        <f>K7*1.3</f>
        <v>6.5</v>
      </c>
      <c r="P7" s="7" t="s">
        <v>23</v>
      </c>
      <c r="Q7" s="6">
        <f>M7*1.5</f>
        <v>6</v>
      </c>
      <c r="R7" s="6">
        <f t="shared" ref="R7" si="0">O7+Q7</f>
        <v>12.5</v>
      </c>
      <c r="S7" s="6">
        <f t="shared" ref="S7" si="1">K7+M7*N7</f>
        <v>7.4</v>
      </c>
    </row>
    <row r="8" spans="1:19" x14ac:dyDescent="0.45">
      <c r="A8" t="s">
        <v>1</v>
      </c>
      <c r="B8" s="3">
        <v>22</v>
      </c>
      <c r="C8" t="s">
        <v>2</v>
      </c>
      <c r="D8" s="2" t="s">
        <v>12</v>
      </c>
      <c r="E8" t="s">
        <v>3</v>
      </c>
      <c r="F8" s="4">
        <v>2.5</v>
      </c>
      <c r="G8" t="s">
        <v>4</v>
      </c>
      <c r="K8" s="6"/>
      <c r="L8" s="7"/>
      <c r="M8" s="6"/>
      <c r="N8" s="6"/>
      <c r="O8" s="6"/>
      <c r="P8" s="7"/>
      <c r="Q8" s="6"/>
      <c r="R8" s="6"/>
      <c r="S8" s="6"/>
    </row>
    <row r="9" spans="1:19" ht="15.75" x14ac:dyDescent="0.5">
      <c r="D9" s="2" t="s">
        <v>12</v>
      </c>
      <c r="E9" t="s">
        <v>6</v>
      </c>
      <c r="F9" s="4">
        <v>1.5</v>
      </c>
      <c r="G9" t="s">
        <v>4</v>
      </c>
      <c r="I9" s="5" t="str">
        <f>A17</f>
        <v>Trave emergente</v>
      </c>
      <c r="K9" s="6">
        <f>F18</f>
        <v>4.2</v>
      </c>
      <c r="L9" s="7" t="s">
        <v>23</v>
      </c>
      <c r="M9" s="7" t="s">
        <v>23</v>
      </c>
      <c r="N9" s="7" t="s">
        <v>23</v>
      </c>
      <c r="O9" s="6">
        <f>K9*1.3</f>
        <v>5.4600000000000009</v>
      </c>
      <c r="P9" s="7" t="s">
        <v>23</v>
      </c>
      <c r="Q9" s="7" t="s">
        <v>23</v>
      </c>
      <c r="R9" s="6">
        <f>O9</f>
        <v>5.4600000000000009</v>
      </c>
      <c r="S9" s="6">
        <f>K9</f>
        <v>4.2</v>
      </c>
    </row>
    <row r="10" spans="1:19" ht="15.75" x14ac:dyDescent="0.5">
      <c r="D10" s="2" t="s">
        <v>14</v>
      </c>
      <c r="E10" t="s">
        <v>8</v>
      </c>
      <c r="F10" s="4">
        <v>4</v>
      </c>
      <c r="G10" t="s">
        <v>4</v>
      </c>
      <c r="I10" s="5" t="str">
        <f>A21</f>
        <v>Trave a spessore</v>
      </c>
      <c r="K10" s="6">
        <f>F22</f>
        <v>1.8</v>
      </c>
      <c r="L10" s="7" t="s">
        <v>23</v>
      </c>
      <c r="M10" s="7" t="s">
        <v>23</v>
      </c>
      <c r="N10" s="7" t="s">
        <v>23</v>
      </c>
      <c r="O10" s="6">
        <f>K10*1.3</f>
        <v>2.3400000000000003</v>
      </c>
      <c r="P10" s="7" t="s">
        <v>23</v>
      </c>
      <c r="Q10" s="7" t="s">
        <v>23</v>
      </c>
      <c r="R10" s="6">
        <f t="shared" ref="R10" si="2">O10</f>
        <v>2.3400000000000003</v>
      </c>
      <c r="S10" s="6">
        <f t="shared" ref="S10" si="3">K10</f>
        <v>1.8</v>
      </c>
    </row>
    <row r="11" spans="1:19" ht="15.75" x14ac:dyDescent="0.5">
      <c r="I11" s="5" t="s">
        <v>44</v>
      </c>
      <c r="K11" s="6">
        <f>F26</f>
        <v>14</v>
      </c>
      <c r="L11" s="7" t="s">
        <v>23</v>
      </c>
      <c r="M11" s="7" t="s">
        <v>23</v>
      </c>
      <c r="N11" s="7" t="s">
        <v>23</v>
      </c>
      <c r="O11" s="6">
        <f>K11*1.3</f>
        <v>18.2</v>
      </c>
      <c r="P11" s="7" t="s">
        <v>23</v>
      </c>
      <c r="Q11" s="7" t="s">
        <v>23</v>
      </c>
      <c r="R11" s="6">
        <f t="shared" ref="R11" si="4">O11</f>
        <v>18.2</v>
      </c>
      <c r="S11" s="6">
        <f t="shared" ref="S11" si="5">K11</f>
        <v>14</v>
      </c>
    </row>
    <row r="12" spans="1:19" ht="15.75" x14ac:dyDescent="0.5">
      <c r="A12" s="5" t="s">
        <v>10</v>
      </c>
      <c r="E12" s="1" t="s">
        <v>5</v>
      </c>
      <c r="I12" s="5" t="str">
        <f>A28</f>
        <v>Tramezzi</v>
      </c>
      <c r="K12" s="6">
        <f>F29</f>
        <v>3</v>
      </c>
      <c r="L12" s="7" t="s">
        <v>23</v>
      </c>
      <c r="M12" s="7" t="s">
        <v>23</v>
      </c>
      <c r="N12" s="7" t="s">
        <v>23</v>
      </c>
      <c r="O12" s="6">
        <f>K12*1.3</f>
        <v>3.9000000000000004</v>
      </c>
      <c r="P12" s="7" t="s">
        <v>23</v>
      </c>
      <c r="Q12" s="7" t="s">
        <v>23</v>
      </c>
      <c r="R12" s="6">
        <f>O12</f>
        <v>3.9000000000000004</v>
      </c>
      <c r="S12" s="6">
        <f>K12</f>
        <v>3</v>
      </c>
    </row>
    <row r="13" spans="1:19" ht="15.75" x14ac:dyDescent="0.5">
      <c r="A13" t="s">
        <v>36</v>
      </c>
      <c r="D13" s="2" t="s">
        <v>12</v>
      </c>
      <c r="E13" t="s">
        <v>3</v>
      </c>
      <c r="F13" s="4">
        <v>2.5</v>
      </c>
      <c r="G13" t="s">
        <v>4</v>
      </c>
      <c r="I13" s="5" t="str">
        <f>A31</f>
        <v>Tamponature</v>
      </c>
      <c r="K13" s="6">
        <f>F32</f>
        <v>6</v>
      </c>
      <c r="L13" s="7" t="s">
        <v>23</v>
      </c>
      <c r="M13" s="7" t="s">
        <v>23</v>
      </c>
      <c r="N13" s="7" t="s">
        <v>23</v>
      </c>
      <c r="O13" s="6">
        <f>K13*1.3</f>
        <v>7.8000000000000007</v>
      </c>
      <c r="P13" s="7" t="s">
        <v>23</v>
      </c>
      <c r="Q13" s="7" t="s">
        <v>23</v>
      </c>
      <c r="R13" s="6">
        <f>O13</f>
        <v>7.8000000000000007</v>
      </c>
      <c r="S13" s="6">
        <f>K13</f>
        <v>6</v>
      </c>
    </row>
    <row r="14" spans="1:19" x14ac:dyDescent="0.45">
      <c r="D14" s="2" t="s">
        <v>12</v>
      </c>
      <c r="E14" t="s">
        <v>6</v>
      </c>
      <c r="F14" s="4">
        <v>2.5</v>
      </c>
      <c r="G14" t="s">
        <v>4</v>
      </c>
    </row>
    <row r="15" spans="1:19" x14ac:dyDescent="0.45">
      <c r="A15" t="s">
        <v>11</v>
      </c>
      <c r="D15" s="2" t="s">
        <v>14</v>
      </c>
      <c r="E15" t="s">
        <v>8</v>
      </c>
      <c r="F15" s="4">
        <v>4</v>
      </c>
      <c r="G15" t="s">
        <v>4</v>
      </c>
    </row>
    <row r="17" spans="1:7" ht="15.75" x14ac:dyDescent="0.5">
      <c r="A17" s="5" t="s">
        <v>18</v>
      </c>
      <c r="E17" s="1" t="s">
        <v>5</v>
      </c>
    </row>
    <row r="18" spans="1:7" x14ac:dyDescent="0.45">
      <c r="A18" t="s">
        <v>19</v>
      </c>
      <c r="B18" s="3"/>
      <c r="C18" t="s">
        <v>2</v>
      </c>
      <c r="D18" s="2" t="s">
        <v>12</v>
      </c>
      <c r="E18" t="s">
        <v>3</v>
      </c>
      <c r="F18" s="4">
        <v>4.2</v>
      </c>
      <c r="G18" t="s">
        <v>16</v>
      </c>
    </row>
    <row r="19" spans="1:7" x14ac:dyDescent="0.45">
      <c r="A19" t="s">
        <v>20</v>
      </c>
      <c r="B19" s="3"/>
      <c r="C19" t="s">
        <v>2</v>
      </c>
    </row>
    <row r="21" spans="1:7" ht="15.75" x14ac:dyDescent="0.5">
      <c r="A21" s="5" t="s">
        <v>21</v>
      </c>
      <c r="E21" s="1" t="s">
        <v>5</v>
      </c>
    </row>
    <row r="22" spans="1:7" x14ac:dyDescent="0.45">
      <c r="A22" t="s">
        <v>19</v>
      </c>
      <c r="B22" s="3"/>
      <c r="C22" t="s">
        <v>2</v>
      </c>
      <c r="D22" s="2" t="s">
        <v>12</v>
      </c>
      <c r="E22" t="s">
        <v>3</v>
      </c>
      <c r="F22" s="4">
        <v>1.8</v>
      </c>
      <c r="G22" t="s">
        <v>16</v>
      </c>
    </row>
    <row r="23" spans="1:7" x14ac:dyDescent="0.45">
      <c r="A23" t="s">
        <v>20</v>
      </c>
      <c r="B23" s="3"/>
      <c r="C23" t="s">
        <v>2</v>
      </c>
    </row>
    <row r="25" spans="1:7" ht="15.75" x14ac:dyDescent="0.5">
      <c r="A25" s="5" t="s">
        <v>44</v>
      </c>
      <c r="E25" s="1" t="s">
        <v>5</v>
      </c>
    </row>
    <row r="26" spans="1:7" x14ac:dyDescent="0.45">
      <c r="D26" s="2" t="s">
        <v>12</v>
      </c>
      <c r="E26" t="s">
        <v>3</v>
      </c>
      <c r="F26" s="4">
        <v>14</v>
      </c>
      <c r="G26" t="s">
        <v>45</v>
      </c>
    </row>
    <row r="28" spans="1:7" ht="15.75" x14ac:dyDescent="0.5">
      <c r="A28" s="5" t="s">
        <v>15</v>
      </c>
      <c r="E28" s="1" t="s">
        <v>5</v>
      </c>
    </row>
    <row r="29" spans="1:7" x14ac:dyDescent="0.45">
      <c r="D29" s="2" t="s">
        <v>12</v>
      </c>
      <c r="E29" t="s">
        <v>3</v>
      </c>
      <c r="F29" s="4">
        <v>3</v>
      </c>
      <c r="G29" t="s">
        <v>16</v>
      </c>
    </row>
    <row r="31" spans="1:7" ht="15.75" x14ac:dyDescent="0.5">
      <c r="A31" s="5" t="s">
        <v>17</v>
      </c>
      <c r="E31" s="1" t="s">
        <v>5</v>
      </c>
    </row>
    <row r="32" spans="1:7" x14ac:dyDescent="0.45">
      <c r="D32" s="2" t="s">
        <v>12</v>
      </c>
      <c r="E32" t="s">
        <v>3</v>
      </c>
      <c r="F32" s="4">
        <v>6</v>
      </c>
      <c r="G32" t="s">
        <v>16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25" zoomScale="98" zoomScaleNormal="98" workbookViewId="0">
      <selection activeCell="R49" sqref="R49"/>
    </sheetView>
  </sheetViews>
  <sheetFormatPr defaultRowHeight="14.25" x14ac:dyDescent="0.45"/>
  <cols>
    <col min="1" max="1" width="9.73046875" style="20" customWidth="1"/>
    <col min="2" max="2" width="15.73046875" style="20" customWidth="1"/>
    <col min="3" max="9" width="9.06640625" style="20"/>
    <col min="10" max="10" width="15.73046875" style="20" customWidth="1"/>
    <col min="11" max="16384" width="9.06640625" style="20"/>
  </cols>
  <sheetData>
    <row r="1" spans="1:10" x14ac:dyDescent="0.45">
      <c r="A1" s="8" t="s">
        <v>22</v>
      </c>
    </row>
    <row r="3" spans="1:10" ht="14.65" x14ac:dyDescent="0.45">
      <c r="D3" s="21" t="s">
        <v>12</v>
      </c>
      <c r="E3" s="21" t="s">
        <v>39</v>
      </c>
      <c r="F3" s="21" t="s">
        <v>27</v>
      </c>
      <c r="G3" s="21" t="s">
        <v>77</v>
      </c>
    </row>
    <row r="4" spans="1:10" x14ac:dyDescent="0.45">
      <c r="A4" s="8" t="s">
        <v>0</v>
      </c>
      <c r="B4" s="20" t="s">
        <v>53</v>
      </c>
      <c r="D4" s="22">
        <f>'Carichi unitari'!K4</f>
        <v>4</v>
      </c>
      <c r="E4" s="22">
        <f>'Carichi unitari'!L4+'Carichi unitari'!M4</f>
        <v>3.2</v>
      </c>
      <c r="F4" s="22">
        <f>'Carichi unitari'!R4</f>
        <v>10</v>
      </c>
      <c r="G4" s="22">
        <f>'Carichi unitari'!S4</f>
        <v>5.8</v>
      </c>
      <c r="H4" s="21" t="s">
        <v>4</v>
      </c>
    </row>
    <row r="5" spans="1:10" x14ac:dyDescent="0.45">
      <c r="A5" s="8" t="s">
        <v>9</v>
      </c>
      <c r="D5" s="22">
        <f>'Carichi unitari'!K6</f>
        <v>4</v>
      </c>
      <c r="E5" s="22">
        <f>'Carichi unitari'!M6</f>
        <v>4</v>
      </c>
      <c r="F5" s="22">
        <f>'Carichi unitari'!R6</f>
        <v>11.2</v>
      </c>
      <c r="G5" s="22">
        <f>'Carichi unitari'!S6</f>
        <v>6.4</v>
      </c>
      <c r="H5" s="21" t="s">
        <v>4</v>
      </c>
    </row>
    <row r="6" spans="1:10" x14ac:dyDescent="0.45">
      <c r="A6" s="8" t="s">
        <v>10</v>
      </c>
      <c r="B6" s="20" t="s">
        <v>37</v>
      </c>
      <c r="D6" s="22">
        <f>'Carichi unitari'!K7</f>
        <v>5</v>
      </c>
      <c r="E6" s="22">
        <f>'Carichi unitari'!M7</f>
        <v>4</v>
      </c>
      <c r="F6" s="22">
        <f>'Carichi unitari'!R7</f>
        <v>12.5</v>
      </c>
      <c r="G6" s="22">
        <f>'Carichi unitari'!S7</f>
        <v>7.4</v>
      </c>
      <c r="H6" s="21" t="s">
        <v>4</v>
      </c>
    </row>
    <row r="7" spans="1:10" x14ac:dyDescent="0.45">
      <c r="A7" s="8" t="s">
        <v>18</v>
      </c>
      <c r="D7" s="22">
        <f>'Carichi unitari'!K9</f>
        <v>4.2</v>
      </c>
      <c r="E7" s="23" t="s">
        <v>23</v>
      </c>
      <c r="F7" s="22">
        <f>'Carichi unitari'!R9</f>
        <v>5.4600000000000009</v>
      </c>
      <c r="G7" s="22">
        <f>'Carichi unitari'!S9</f>
        <v>4.2</v>
      </c>
      <c r="H7" s="21" t="s">
        <v>16</v>
      </c>
    </row>
    <row r="8" spans="1:10" x14ac:dyDescent="0.45">
      <c r="A8" s="8" t="s">
        <v>21</v>
      </c>
      <c r="D8" s="22">
        <f>'Carichi unitari'!K10</f>
        <v>1.8</v>
      </c>
      <c r="E8" s="23" t="s">
        <v>23</v>
      </c>
      <c r="F8" s="22">
        <f>'Carichi unitari'!R10</f>
        <v>2.3400000000000003</v>
      </c>
      <c r="G8" s="22">
        <f>'Carichi unitari'!S10</f>
        <v>1.8</v>
      </c>
      <c r="H8" s="21" t="s">
        <v>16</v>
      </c>
    </row>
    <row r="9" spans="1:10" x14ac:dyDescent="0.45">
      <c r="A9" s="8" t="s">
        <v>44</v>
      </c>
      <c r="D9" s="22">
        <f>'Carichi unitari'!K11</f>
        <v>14</v>
      </c>
      <c r="E9" s="23" t="s">
        <v>23</v>
      </c>
      <c r="F9" s="22">
        <f>'Carichi unitari'!R11</f>
        <v>18.2</v>
      </c>
      <c r="G9" s="22">
        <f>'Carichi unitari'!S11</f>
        <v>14</v>
      </c>
      <c r="H9" s="21" t="s">
        <v>45</v>
      </c>
    </row>
    <row r="10" spans="1:10" x14ac:dyDescent="0.45">
      <c r="A10" s="8" t="s">
        <v>15</v>
      </c>
      <c r="D10" s="22">
        <f>'Carichi unitari'!K12</f>
        <v>3</v>
      </c>
      <c r="E10" s="23" t="s">
        <v>23</v>
      </c>
      <c r="F10" s="22">
        <f>'Carichi unitari'!R12</f>
        <v>3.9000000000000004</v>
      </c>
      <c r="G10" s="22">
        <f>'Carichi unitari'!S12</f>
        <v>3</v>
      </c>
      <c r="H10" s="21" t="s">
        <v>16</v>
      </c>
    </row>
    <row r="11" spans="1:10" x14ac:dyDescent="0.45">
      <c r="A11" s="8" t="s">
        <v>17</v>
      </c>
      <c r="D11" s="22">
        <f>'Carichi unitari'!K13</f>
        <v>6</v>
      </c>
      <c r="E11" s="23" t="s">
        <v>23</v>
      </c>
      <c r="F11" s="22">
        <f>'Carichi unitari'!R13</f>
        <v>7.8000000000000007</v>
      </c>
      <c r="G11" s="22">
        <f>'Carichi unitari'!S13</f>
        <v>6</v>
      </c>
      <c r="H11" s="21" t="s">
        <v>16</v>
      </c>
    </row>
    <row r="14" spans="1:10" x14ac:dyDescent="0.45">
      <c r="A14" s="8" t="s">
        <v>31</v>
      </c>
      <c r="B14" s="9" t="s">
        <v>207</v>
      </c>
      <c r="I14" s="8" t="s">
        <v>31</v>
      </c>
      <c r="J14" s="9" t="s">
        <v>207</v>
      </c>
    </row>
    <row r="16" spans="1:10" x14ac:dyDescent="0.45">
      <c r="A16" s="8" t="s">
        <v>32</v>
      </c>
      <c r="B16" s="10" t="s">
        <v>42</v>
      </c>
      <c r="I16" s="8" t="s">
        <v>32</v>
      </c>
      <c r="J16" s="10" t="s">
        <v>205</v>
      </c>
    </row>
    <row r="18" spans="1:15" ht="14.65" x14ac:dyDescent="0.45">
      <c r="A18" s="20" t="s">
        <v>28</v>
      </c>
      <c r="C18" s="20" t="s">
        <v>29</v>
      </c>
      <c r="D18" s="21" t="s">
        <v>12</v>
      </c>
      <c r="E18" s="21" t="s">
        <v>39</v>
      </c>
      <c r="F18" s="21" t="s">
        <v>27</v>
      </c>
      <c r="G18" s="21" t="s">
        <v>77</v>
      </c>
      <c r="I18" s="20" t="s">
        <v>28</v>
      </c>
      <c r="K18" s="20" t="s">
        <v>29</v>
      </c>
      <c r="L18" s="21" t="s">
        <v>12</v>
      </c>
      <c r="M18" s="21" t="s">
        <v>39</v>
      </c>
      <c r="N18" s="21" t="s">
        <v>27</v>
      </c>
      <c r="O18" s="21" t="s">
        <v>77</v>
      </c>
    </row>
    <row r="19" spans="1:15" x14ac:dyDescent="0.45">
      <c r="A19" s="20" t="str">
        <f>$A$4</f>
        <v>Solaio</v>
      </c>
      <c r="C19" s="30"/>
      <c r="D19" s="22" t="str">
        <f>IF(C19="","",C19*$D$4)</f>
        <v/>
      </c>
      <c r="E19" s="22" t="str">
        <f>IF(C19="","",C19*$E$4)</f>
        <v/>
      </c>
      <c r="F19" s="22" t="str">
        <f>IF(C19="","",C19*$F$4)</f>
        <v/>
      </c>
      <c r="G19" s="22" t="str">
        <f>IF(C19="","",C19*$G$4)</f>
        <v/>
      </c>
      <c r="I19" s="20" t="str">
        <f>$A$4</f>
        <v>Solaio</v>
      </c>
      <c r="K19" s="30">
        <f>1.1*4.3</f>
        <v>4.7300000000000004</v>
      </c>
      <c r="L19" s="22">
        <f>IF(K19="","",K19*$D$4)</f>
        <v>18.920000000000002</v>
      </c>
      <c r="M19" s="22">
        <f>IF(K19="","",K19*$E$4)</f>
        <v>15.136000000000003</v>
      </c>
      <c r="N19" s="22">
        <f>IF(K19="","",K19*$F$4)</f>
        <v>47.300000000000004</v>
      </c>
      <c r="O19" s="22">
        <f>IF(K19="","",K19*$G$4)</f>
        <v>27.434000000000001</v>
      </c>
    </row>
    <row r="20" spans="1:15" x14ac:dyDescent="0.45">
      <c r="A20" s="20" t="str">
        <f>$A$5</f>
        <v>Balconi e terrazzini</v>
      </c>
      <c r="C20" s="30"/>
      <c r="D20" s="22" t="str">
        <f>IF(C20="","",C20*$D$5)</f>
        <v/>
      </c>
      <c r="E20" s="22" t="str">
        <f>IF(C20="","",C20*$E$5)</f>
        <v/>
      </c>
      <c r="F20" s="22" t="str">
        <f>IF(C20="","",C20*$F$5)</f>
        <v/>
      </c>
      <c r="G20" s="22" t="str">
        <f>IF(C20="","",C20*$G$5)</f>
        <v/>
      </c>
      <c r="I20" s="20" t="str">
        <f>$A$5</f>
        <v>Balconi e terrazzini</v>
      </c>
      <c r="K20" s="30"/>
      <c r="L20" s="22" t="str">
        <f>IF(K20="","",K20*$D$5)</f>
        <v/>
      </c>
      <c r="M20" s="22" t="str">
        <f>IF(K20="","",K20*$E$5)</f>
        <v/>
      </c>
      <c r="N20" s="22" t="str">
        <f>IF(K20="","",K20*$F$5)</f>
        <v/>
      </c>
      <c r="O20" s="22" t="str">
        <f>IF(K20="","",K20*$G$5)</f>
        <v/>
      </c>
    </row>
    <row r="21" spans="1:15" x14ac:dyDescent="0.45">
      <c r="A21" s="20" t="str">
        <f>$A$6</f>
        <v>Scala</v>
      </c>
      <c r="B21" s="20" t="s">
        <v>37</v>
      </c>
      <c r="C21" s="30">
        <v>2.7</v>
      </c>
      <c r="D21" s="22">
        <f>IF(C21="","",C21*$D$6)</f>
        <v>13.5</v>
      </c>
      <c r="E21" s="22">
        <f>IF(C21="","",C21*$E$6)</f>
        <v>10.8</v>
      </c>
      <c r="F21" s="22">
        <f>IF(C21="","",C21*$F$6)</f>
        <v>33.75</v>
      </c>
      <c r="G21" s="22">
        <f>IF(C21="","",C21*$G$6)</f>
        <v>19.980000000000004</v>
      </c>
      <c r="I21" s="20" t="str">
        <f>$A$6</f>
        <v>Scala</v>
      </c>
      <c r="J21" s="20" t="s">
        <v>37</v>
      </c>
      <c r="K21" s="30"/>
      <c r="L21" s="22" t="str">
        <f>IF(K21="","",K21*$D$6)</f>
        <v/>
      </c>
      <c r="M21" s="22" t="str">
        <f>IF(K21="","",K21*$E$6)</f>
        <v/>
      </c>
      <c r="N21" s="22" t="str">
        <f>IF(K21="","",K21*$F$6)</f>
        <v/>
      </c>
      <c r="O21" s="22" t="str">
        <f>IF(K21="","",K21*$G$6)</f>
        <v/>
      </c>
    </row>
    <row r="22" spans="1:15" x14ac:dyDescent="0.45">
      <c r="A22" s="20" t="str">
        <f>$A$7</f>
        <v>Trave emergente</v>
      </c>
      <c r="C22" s="30"/>
      <c r="D22" s="22" t="str">
        <f>IF(C22="","",C22*$D$7)</f>
        <v/>
      </c>
      <c r="E22" s="22"/>
      <c r="F22" s="22" t="str">
        <f>IF(C22="","",C22*$F$7)</f>
        <v/>
      </c>
      <c r="G22" s="22" t="str">
        <f>IF(C22="","",C22*$G$7)</f>
        <v/>
      </c>
      <c r="I22" s="20" t="str">
        <f>$A$7</f>
        <v>Trave emergente</v>
      </c>
      <c r="K22" s="30">
        <v>1</v>
      </c>
      <c r="L22" s="22">
        <f>IF(K22="","",K22*$D$7)</f>
        <v>4.2</v>
      </c>
      <c r="M22" s="22"/>
      <c r="N22" s="22">
        <f>IF(K22="","",K22*$F$7)</f>
        <v>5.4600000000000009</v>
      </c>
      <c r="O22" s="22">
        <f>IF(K22="","",K22*$G$7)</f>
        <v>4.2</v>
      </c>
    </row>
    <row r="23" spans="1:15" x14ac:dyDescent="0.45">
      <c r="A23" s="20" t="str">
        <f>$A$8</f>
        <v>Trave a spessore</v>
      </c>
      <c r="C23" s="30">
        <v>1</v>
      </c>
      <c r="D23" s="22">
        <f>IF(C23="","",C23*$D$8)</f>
        <v>1.8</v>
      </c>
      <c r="E23" s="22"/>
      <c r="F23" s="22">
        <f>IF(C23="","",C23*$F$8)</f>
        <v>2.3400000000000003</v>
      </c>
      <c r="G23" s="22">
        <f>IF(C23="","",C23*$G$8)</f>
        <v>1.8</v>
      </c>
      <c r="I23" s="20" t="str">
        <f>$A$8</f>
        <v>Trave a spessore</v>
      </c>
      <c r="K23" s="30"/>
      <c r="L23" s="22" t="str">
        <f>IF(K23="","",K23*$D$8)</f>
        <v/>
      </c>
      <c r="M23" s="22"/>
      <c r="N23" s="22" t="str">
        <f>IF(K23="","",K23*$F$8)</f>
        <v/>
      </c>
      <c r="O23" s="22" t="str">
        <f>IF(K23="","",K23*$G$8)</f>
        <v/>
      </c>
    </row>
    <row r="24" spans="1:15" x14ac:dyDescent="0.45">
      <c r="A24" s="20" t="str">
        <f>$A$10</f>
        <v>Tramezzi</v>
      </c>
      <c r="C24" s="30"/>
      <c r="D24" s="22" t="str">
        <f>IF(C24="","",C24*$D$10)</f>
        <v/>
      </c>
      <c r="E24" s="22"/>
      <c r="F24" s="22" t="str">
        <f>IF(C24="","",C24*$F$10)</f>
        <v/>
      </c>
      <c r="G24" s="22" t="str">
        <f>IF(C24="","",C24*$G$10)</f>
        <v/>
      </c>
      <c r="I24" s="20" t="str">
        <f>$A$10</f>
        <v>Tramezzi</v>
      </c>
      <c r="K24" s="30"/>
      <c r="L24" s="22" t="str">
        <f>IF(K24="","",K24*$D$10)</f>
        <v/>
      </c>
      <c r="M24" s="22"/>
      <c r="N24" s="22" t="str">
        <f>IF(K24="","",K24*$F$10)</f>
        <v/>
      </c>
      <c r="O24" s="22" t="str">
        <f>IF(K24="","",K24*$G$10)</f>
        <v/>
      </c>
    </row>
    <row r="25" spans="1:15" x14ac:dyDescent="0.45">
      <c r="A25" s="20" t="str">
        <f>$A$11</f>
        <v>Tamponature</v>
      </c>
      <c r="C25" s="30"/>
      <c r="D25" s="22" t="str">
        <f>IF(C25="","",C25*$D$11)</f>
        <v/>
      </c>
      <c r="E25" s="22"/>
      <c r="F25" s="22" t="str">
        <f>IF(C25="","",C25*$F$11)</f>
        <v/>
      </c>
      <c r="G25" s="22" t="str">
        <f>IF(C25="","",C25*$G$11)</f>
        <v/>
      </c>
      <c r="I25" s="20" t="str">
        <f>$A$11</f>
        <v>Tamponature</v>
      </c>
      <c r="K25" s="30"/>
      <c r="L25" s="22" t="str">
        <f>IF(K25="","",K25*$D$11)</f>
        <v/>
      </c>
      <c r="M25" s="22"/>
      <c r="N25" s="22" t="str">
        <f>IF(K25="","",K25*$F$11)</f>
        <v/>
      </c>
      <c r="O25" s="22" t="str">
        <f>IF(K25="","",K25*$G$11)</f>
        <v/>
      </c>
    </row>
    <row r="26" spans="1:15" x14ac:dyDescent="0.45">
      <c r="B26" s="20" t="s">
        <v>30</v>
      </c>
      <c r="D26" s="27">
        <f>SUM(D19:D25)</f>
        <v>15.3</v>
      </c>
      <c r="E26" s="27">
        <f>SUM(E19:E25)</f>
        <v>10.8</v>
      </c>
      <c r="F26" s="27">
        <f>SUM(F19:F25)</f>
        <v>36.090000000000003</v>
      </c>
      <c r="G26" s="27">
        <f>SUM(G19:G25)</f>
        <v>21.780000000000005</v>
      </c>
      <c r="J26" s="20" t="s">
        <v>30</v>
      </c>
      <c r="L26" s="27">
        <f>SUM(L19:L25)</f>
        <v>23.12</v>
      </c>
      <c r="M26" s="27">
        <f>SUM(M19:M25)</f>
        <v>15.136000000000003</v>
      </c>
      <c r="N26" s="27">
        <f>SUM(N19:N25)</f>
        <v>52.760000000000005</v>
      </c>
      <c r="O26" s="27">
        <f>SUM(O19:O25)</f>
        <v>31.634</v>
      </c>
    </row>
    <row r="27" spans="1:15" x14ac:dyDescent="0.45">
      <c r="A27" s="20" t="s">
        <v>212</v>
      </c>
      <c r="C27" s="21" t="s">
        <v>213</v>
      </c>
      <c r="D27" s="97">
        <v>3</v>
      </c>
      <c r="E27" s="97" t="s">
        <v>214</v>
      </c>
      <c r="F27" s="97">
        <f>F26*D27^2/10</f>
        <v>32.481000000000009</v>
      </c>
      <c r="G27" s="97">
        <f>G26*D27^2/10</f>
        <v>19.602000000000004</v>
      </c>
      <c r="I27" s="20" t="s">
        <v>212</v>
      </c>
      <c r="K27" s="21" t="s">
        <v>213</v>
      </c>
      <c r="L27" s="97">
        <v>4</v>
      </c>
      <c r="M27" s="97" t="s">
        <v>214</v>
      </c>
      <c r="N27" s="97">
        <f>N26*L27^2/10</f>
        <v>84.416000000000011</v>
      </c>
      <c r="O27" s="97">
        <f>O26*L27^2/10</f>
        <v>50.614400000000003</v>
      </c>
    </row>
    <row r="30" spans="1:15" x14ac:dyDescent="0.45">
      <c r="A30" s="8" t="s">
        <v>31</v>
      </c>
      <c r="B30" s="9" t="s">
        <v>208</v>
      </c>
      <c r="J30" s="9" t="s">
        <v>31</v>
      </c>
      <c r="K30" s="9" t="s">
        <v>206</v>
      </c>
    </row>
    <row r="32" spans="1:15" x14ac:dyDescent="0.45">
      <c r="A32" s="8" t="s">
        <v>32</v>
      </c>
      <c r="B32" s="10" t="s">
        <v>41</v>
      </c>
      <c r="J32" s="10" t="s">
        <v>32</v>
      </c>
      <c r="K32" s="10" t="s">
        <v>40</v>
      </c>
    </row>
    <row r="34" spans="1:16" ht="14.65" x14ac:dyDescent="0.45">
      <c r="A34" s="20" t="s">
        <v>28</v>
      </c>
      <c r="C34" s="20" t="s">
        <v>29</v>
      </c>
      <c r="D34" s="21" t="s">
        <v>12</v>
      </c>
      <c r="E34" s="21" t="s">
        <v>39</v>
      </c>
      <c r="F34" s="21" t="s">
        <v>27</v>
      </c>
      <c r="G34" s="21" t="s">
        <v>77</v>
      </c>
      <c r="J34" s="20" t="s">
        <v>28</v>
      </c>
      <c r="L34" s="20" t="s">
        <v>29</v>
      </c>
      <c r="M34" s="21" t="s">
        <v>12</v>
      </c>
      <c r="N34" s="21" t="s">
        <v>39</v>
      </c>
      <c r="O34" s="21" t="s">
        <v>27</v>
      </c>
      <c r="P34" s="21" t="s">
        <v>77</v>
      </c>
    </row>
    <row r="35" spans="1:16" x14ac:dyDescent="0.45">
      <c r="A35" s="20" t="str">
        <f>$A$4</f>
        <v>Solaio</v>
      </c>
      <c r="C35" s="30">
        <v>2.35</v>
      </c>
      <c r="D35" s="22">
        <f>IF(C35="","",C35*$D$4)</f>
        <v>9.4</v>
      </c>
      <c r="E35" s="22">
        <f>IF(C35="","",C35*$E$4)</f>
        <v>7.5200000000000005</v>
      </c>
      <c r="F35" s="22">
        <f>IF(C35="","",C35*$F$4)</f>
        <v>23.5</v>
      </c>
      <c r="G35" s="22">
        <f>IF(C35="","",C35*$G$4)</f>
        <v>13.63</v>
      </c>
      <c r="J35" s="20" t="str">
        <f>$A$4</f>
        <v>Solaio</v>
      </c>
      <c r="L35" s="30">
        <f>4.25*1.2</f>
        <v>5.0999999999999996</v>
      </c>
      <c r="M35" s="22">
        <f>IF(L35="","",L35*$D$4)</f>
        <v>20.399999999999999</v>
      </c>
      <c r="N35" s="22">
        <f>IF(L35="","",L35*$E$4)</f>
        <v>16.32</v>
      </c>
      <c r="O35" s="22">
        <f>IF(L35="","",L35*$F$4)</f>
        <v>51</v>
      </c>
      <c r="P35" s="22">
        <f>IF(L35="","",L35*$G$4)</f>
        <v>29.58</v>
      </c>
    </row>
    <row r="36" spans="1:16" x14ac:dyDescent="0.45">
      <c r="A36" s="20" t="str">
        <f>$A$5</f>
        <v>Balconi e terrazzini</v>
      </c>
      <c r="C36" s="30">
        <v>1.55</v>
      </c>
      <c r="D36" s="22">
        <f>IF(C36="","",C36*$D$5)</f>
        <v>6.2</v>
      </c>
      <c r="E36" s="22">
        <f>IF(C36="","",C36*$E$5)</f>
        <v>6.2</v>
      </c>
      <c r="F36" s="22">
        <f>IF(C36="","",C36*$F$5)</f>
        <v>17.36</v>
      </c>
      <c r="G36" s="22">
        <f>IF(C36="","",C36*$G$5)</f>
        <v>9.9200000000000017</v>
      </c>
      <c r="J36" s="20" t="str">
        <f>$A$5</f>
        <v>Balconi e terrazzini</v>
      </c>
      <c r="L36" s="30"/>
      <c r="M36" s="22" t="str">
        <f>IF(L36="","",L36*$D$5)</f>
        <v/>
      </c>
      <c r="N36" s="22" t="str">
        <f>IF(L36="","",L36*$E$5)</f>
        <v/>
      </c>
      <c r="O36" s="22" t="str">
        <f>IF(L36="","",L36*$F$5)</f>
        <v/>
      </c>
      <c r="P36" s="22" t="str">
        <f>IF(L36="","",L36*$G$5)</f>
        <v/>
      </c>
    </row>
    <row r="37" spans="1:16" x14ac:dyDescent="0.45">
      <c r="A37" s="20" t="str">
        <f>$A$6</f>
        <v>Scala</v>
      </c>
      <c r="B37" s="20" t="s">
        <v>37</v>
      </c>
      <c r="C37" s="30"/>
      <c r="D37" s="22" t="str">
        <f>IF(C37="","",C37*$D$6)</f>
        <v/>
      </c>
      <c r="E37" s="22" t="str">
        <f>IF(C37="","",C37*$E$6)</f>
        <v/>
      </c>
      <c r="F37" s="22" t="str">
        <f>IF(C37="","",C37*$F$6)</f>
        <v/>
      </c>
      <c r="G37" s="22" t="str">
        <f>IF(C37="","",C37*$G$6)</f>
        <v/>
      </c>
      <c r="J37" s="20" t="str">
        <f>$A$6</f>
        <v>Scala</v>
      </c>
      <c r="K37" s="20" t="s">
        <v>37</v>
      </c>
      <c r="L37" s="30"/>
      <c r="M37" s="22" t="str">
        <f>IF(L37="","",L37*$D$6)</f>
        <v/>
      </c>
      <c r="N37" s="22" t="str">
        <f>IF(L37="","",L37*$E$6)</f>
        <v/>
      </c>
      <c r="O37" s="22" t="str">
        <f>IF(L37="","",L37*$F$6)</f>
        <v/>
      </c>
      <c r="P37" s="22" t="str">
        <f>IF(L37="","",L37*$G$6)</f>
        <v/>
      </c>
    </row>
    <row r="38" spans="1:16" x14ac:dyDescent="0.45">
      <c r="A38" s="20" t="str">
        <f>$A$7</f>
        <v>Trave emergente</v>
      </c>
      <c r="C38" s="30">
        <v>1</v>
      </c>
      <c r="D38" s="22">
        <f>IF(C38="","",C38*$D$7)</f>
        <v>4.2</v>
      </c>
      <c r="E38" s="22"/>
      <c r="F38" s="22">
        <f>IF(C38="","",C38*$F$7)</f>
        <v>5.4600000000000009</v>
      </c>
      <c r="G38" s="22">
        <f>IF(C38="","",C38*$G$7)</f>
        <v>4.2</v>
      </c>
      <c r="J38" s="20" t="str">
        <f>$A$7</f>
        <v>Trave emergente</v>
      </c>
      <c r="L38" s="30">
        <v>1</v>
      </c>
      <c r="M38" s="22">
        <f>IF(L38="","",L38*$D$7)</f>
        <v>4.2</v>
      </c>
      <c r="N38" s="22"/>
      <c r="O38" s="22">
        <f>IF(L38="","",L38*$F$7)</f>
        <v>5.4600000000000009</v>
      </c>
      <c r="P38" s="22">
        <f>IF(L38="","",L38*$G$7)</f>
        <v>4.2</v>
      </c>
    </row>
    <row r="39" spans="1:16" x14ac:dyDescent="0.45">
      <c r="A39" s="20" t="str">
        <f>$A$8</f>
        <v>Trave a spessore</v>
      </c>
      <c r="C39" s="30"/>
      <c r="D39" s="22" t="str">
        <f>IF(C39="","",C39*$D$8)</f>
        <v/>
      </c>
      <c r="E39" s="22"/>
      <c r="F39" s="22" t="str">
        <f>IF(C39="","",C39*$F$8)</f>
        <v/>
      </c>
      <c r="G39" s="22" t="str">
        <f>IF(C39="","",C39*$G$8)</f>
        <v/>
      </c>
      <c r="J39" s="20" t="str">
        <f>$A$8</f>
        <v>Trave a spessore</v>
      </c>
      <c r="L39" s="30"/>
      <c r="M39" s="22" t="str">
        <f>IF(L39="","",L39*$D$8)</f>
        <v/>
      </c>
      <c r="N39" s="22"/>
      <c r="O39" s="22" t="str">
        <f>IF(L39="","",L39*$F$8)</f>
        <v/>
      </c>
      <c r="P39" s="22" t="str">
        <f>IF(L39="","",L39*$G$8)</f>
        <v/>
      </c>
    </row>
    <row r="40" spans="1:16" x14ac:dyDescent="0.45">
      <c r="A40" s="20" t="str">
        <f>$A$10</f>
        <v>Tramezzi</v>
      </c>
      <c r="C40" s="30"/>
      <c r="D40" s="22" t="str">
        <f>IF(C40="","",C40*$D$10)</f>
        <v/>
      </c>
      <c r="E40" s="22"/>
      <c r="F40" s="22" t="str">
        <f>IF(C40="","",C40*$F$10)</f>
        <v/>
      </c>
      <c r="G40" s="22" t="str">
        <f>IF(C40="","",C40*$G$10)</f>
        <v/>
      </c>
      <c r="J40" s="20" t="str">
        <f>$A$10</f>
        <v>Tramezzi</v>
      </c>
      <c r="L40" s="30"/>
      <c r="M40" s="22" t="str">
        <f>IF(L40="","",L40*$D$10)</f>
        <v/>
      </c>
      <c r="N40" s="22"/>
      <c r="O40" s="22" t="str">
        <f>IF(L40="","",L40*$F$10)</f>
        <v/>
      </c>
      <c r="P40" s="22" t="str">
        <f>IF(L40="","",L40*$G$10)</f>
        <v/>
      </c>
    </row>
    <row r="41" spans="1:16" x14ac:dyDescent="0.45">
      <c r="A41" s="20" t="str">
        <f>$A$11</f>
        <v>Tamponature</v>
      </c>
      <c r="C41" s="30">
        <v>0.85</v>
      </c>
      <c r="D41" s="22">
        <f>IF(C41="","",C41*$D$11)</f>
        <v>5.0999999999999996</v>
      </c>
      <c r="E41" s="22"/>
      <c r="F41" s="22">
        <f>IF(C41="","",C41*$F$11)</f>
        <v>6.6300000000000008</v>
      </c>
      <c r="G41" s="22">
        <f>IF(C41="","",C41*$G$11)</f>
        <v>5.0999999999999996</v>
      </c>
      <c r="J41" s="20" t="str">
        <f>$A$11</f>
        <v>Tamponature</v>
      </c>
      <c r="L41" s="30"/>
      <c r="M41" s="22" t="str">
        <f>IF(L41="","",L41*$D$11)</f>
        <v/>
      </c>
      <c r="N41" s="22"/>
      <c r="O41" s="22" t="str">
        <f>IF(L41="","",L41*$F$11)</f>
        <v/>
      </c>
      <c r="P41" s="22" t="str">
        <f>IF(L41="","",L41*$G$11)</f>
        <v/>
      </c>
    </row>
    <row r="42" spans="1:16" x14ac:dyDescent="0.45">
      <c r="B42" s="20" t="s">
        <v>30</v>
      </c>
      <c r="D42" s="27">
        <f>SUM(D35:D41)</f>
        <v>24.9</v>
      </c>
      <c r="E42" s="27">
        <f>SUM(E35:E41)</f>
        <v>13.72</v>
      </c>
      <c r="F42" s="27">
        <f>SUM(F35:F41)</f>
        <v>52.95</v>
      </c>
      <c r="G42" s="27">
        <f>SUM(G35:G41)</f>
        <v>32.85</v>
      </c>
      <c r="K42" s="20" t="s">
        <v>30</v>
      </c>
      <c r="M42" s="27">
        <f>SUM(M35:M41)</f>
        <v>24.599999999999998</v>
      </c>
      <c r="N42" s="27">
        <f>SUM(N35:N41)</f>
        <v>16.32</v>
      </c>
      <c r="O42" s="27">
        <f>SUM(O35:O41)</f>
        <v>56.46</v>
      </c>
      <c r="P42" s="27">
        <f>SUM(P35:P41)</f>
        <v>33.78</v>
      </c>
    </row>
    <row r="43" spans="1:16" x14ac:dyDescent="0.45">
      <c r="A43" s="20" t="s">
        <v>212</v>
      </c>
      <c r="C43" s="21" t="s">
        <v>213</v>
      </c>
      <c r="D43" s="97">
        <v>4.3</v>
      </c>
      <c r="E43" s="97" t="s">
        <v>214</v>
      </c>
      <c r="F43" s="97">
        <f>F42*D43^2/10</f>
        <v>97.90455</v>
      </c>
      <c r="G43" s="97">
        <f>G42*D43^2/10</f>
        <v>60.739649999999997</v>
      </c>
      <c r="J43" s="20" t="s">
        <v>212</v>
      </c>
      <c r="L43" s="21" t="s">
        <v>213</v>
      </c>
      <c r="M43" s="97">
        <v>3.7</v>
      </c>
      <c r="N43" s="97" t="s">
        <v>214</v>
      </c>
      <c r="O43" s="97">
        <f>O42*M43^2/10</f>
        <v>77.293740000000014</v>
      </c>
      <c r="P43" s="97">
        <f>P42*M43^2/10</f>
        <v>46.244820000000004</v>
      </c>
    </row>
    <row r="46" spans="1:16" x14ac:dyDescent="0.45">
      <c r="A46" s="8" t="s">
        <v>31</v>
      </c>
      <c r="B46" s="9" t="s">
        <v>210</v>
      </c>
      <c r="J46" s="9" t="s">
        <v>31</v>
      </c>
      <c r="K46" s="9" t="s">
        <v>211</v>
      </c>
    </row>
    <row r="48" spans="1:16" x14ac:dyDescent="0.45">
      <c r="A48" s="8" t="s">
        <v>32</v>
      </c>
      <c r="B48" s="10" t="s">
        <v>209</v>
      </c>
      <c r="J48" s="10" t="s">
        <v>32</v>
      </c>
      <c r="K48" s="10" t="s">
        <v>209</v>
      </c>
    </row>
    <row r="50" spans="1:16" ht="14.65" x14ac:dyDescent="0.45">
      <c r="A50" s="20" t="s">
        <v>28</v>
      </c>
      <c r="C50" s="20" t="s">
        <v>29</v>
      </c>
      <c r="D50" s="21" t="s">
        <v>12</v>
      </c>
      <c r="E50" s="21" t="s">
        <v>39</v>
      </c>
      <c r="F50" s="21" t="s">
        <v>27</v>
      </c>
      <c r="G50" s="21" t="s">
        <v>38</v>
      </c>
      <c r="J50" s="20" t="s">
        <v>28</v>
      </c>
      <c r="L50" s="20" t="s">
        <v>29</v>
      </c>
      <c r="M50" s="21" t="s">
        <v>12</v>
      </c>
      <c r="N50" s="21" t="s">
        <v>39</v>
      </c>
      <c r="O50" s="21" t="s">
        <v>27</v>
      </c>
      <c r="P50" s="21" t="s">
        <v>38</v>
      </c>
    </row>
    <row r="51" spans="1:16" x14ac:dyDescent="0.45">
      <c r="A51" s="20" t="str">
        <f>$A$4</f>
        <v>Solaio</v>
      </c>
      <c r="C51" s="30">
        <v>0.5</v>
      </c>
      <c r="D51" s="22">
        <f>IF(C51="","",C51*$D$4)</f>
        <v>2</v>
      </c>
      <c r="E51" s="22">
        <f>IF(C51="","",C51*$E$4)</f>
        <v>1.6</v>
      </c>
      <c r="F51" s="22">
        <f>IF(C51="","",C51*$F$4)</f>
        <v>5</v>
      </c>
      <c r="G51" s="22">
        <f>IF(C51="","",C51*$G$4)</f>
        <v>2.9</v>
      </c>
      <c r="J51" s="20" t="str">
        <f>$A$4</f>
        <v>Solaio</v>
      </c>
      <c r="L51" s="30"/>
      <c r="M51" s="22" t="str">
        <f>IF(L51="","",L51*$D$4)</f>
        <v/>
      </c>
      <c r="N51" s="22" t="str">
        <f>IF(L51="","",L51*$E$4)</f>
        <v/>
      </c>
      <c r="O51" s="22" t="str">
        <f>IF(L51="","",L51*$F$4)</f>
        <v/>
      </c>
      <c r="P51" s="22" t="str">
        <f>IF(L51="","",L51*$G$4)</f>
        <v/>
      </c>
    </row>
    <row r="52" spans="1:16" x14ac:dyDescent="0.45">
      <c r="A52" s="20" t="str">
        <f>$A$5</f>
        <v>Balconi e terrazzini</v>
      </c>
      <c r="C52" s="30"/>
      <c r="D52" s="22" t="str">
        <f>IF(C52="","",C52*$D$5)</f>
        <v/>
      </c>
      <c r="E52" s="22" t="str">
        <f>IF(C52="","",C52*$E$5)</f>
        <v/>
      </c>
      <c r="F52" s="22" t="str">
        <f>IF(C52="","",C52*$F$5)</f>
        <v/>
      </c>
      <c r="G52" s="22" t="str">
        <f>IF(C52="","",C52*$G$5)</f>
        <v/>
      </c>
      <c r="J52" s="20" t="str">
        <f>$A$5</f>
        <v>Balconi e terrazzini</v>
      </c>
      <c r="L52" s="30">
        <f>2*1.55</f>
        <v>3.1</v>
      </c>
      <c r="M52" s="22">
        <f>IF(L52="","",L52*$D$5)</f>
        <v>12.4</v>
      </c>
      <c r="N52" s="22">
        <f>IF(L52="","",L52*$E$5)</f>
        <v>12.4</v>
      </c>
      <c r="O52" s="22">
        <f>IF(L52="","",L52*$F$5)</f>
        <v>34.72</v>
      </c>
      <c r="P52" s="22">
        <f>IF(L52="","",L52*$G$5)</f>
        <v>19.840000000000003</v>
      </c>
    </row>
    <row r="53" spans="1:16" x14ac:dyDescent="0.45">
      <c r="A53" s="20" t="str">
        <f>$A$6</f>
        <v>Scala</v>
      </c>
      <c r="B53" s="20" t="s">
        <v>37</v>
      </c>
      <c r="C53" s="30"/>
      <c r="D53" s="22" t="str">
        <f>IF(C53="","",C53*$D$6)</f>
        <v/>
      </c>
      <c r="E53" s="22" t="str">
        <f>IF(C53="","",C53*$E$6)</f>
        <v/>
      </c>
      <c r="F53" s="22" t="str">
        <f>IF(C53="","",C53*$F$6)</f>
        <v/>
      </c>
      <c r="G53" s="22" t="str">
        <f>IF(C53="","",C53*$G$6)</f>
        <v/>
      </c>
      <c r="J53" s="20" t="str">
        <f>$A$6</f>
        <v>Scala</v>
      </c>
      <c r="K53" s="20" t="s">
        <v>37</v>
      </c>
      <c r="L53" s="30"/>
      <c r="M53" s="22" t="str">
        <f>IF(L53="","",L53*$D$6)</f>
        <v/>
      </c>
      <c r="N53" s="22" t="str">
        <f>IF(L53="","",L53*$E$6)</f>
        <v/>
      </c>
      <c r="O53" s="22" t="str">
        <f>IF(L53="","",L53*$F$6)</f>
        <v/>
      </c>
      <c r="P53" s="22" t="str">
        <f>IF(L53="","",L53*$G$6)</f>
        <v/>
      </c>
    </row>
    <row r="54" spans="1:16" x14ac:dyDescent="0.45">
      <c r="A54" s="20" t="str">
        <f>$A$7</f>
        <v>Trave emergente</v>
      </c>
      <c r="C54" s="30">
        <v>1</v>
      </c>
      <c r="D54" s="22">
        <f>IF(C54="","",C54*$D$7)</f>
        <v>4.2</v>
      </c>
      <c r="E54" s="22"/>
      <c r="F54" s="22">
        <f>IF(C54="","",C54*$F$7)</f>
        <v>5.4600000000000009</v>
      </c>
      <c r="G54" s="22">
        <f>IF(C54="","",C54*$G$7)</f>
        <v>4.2</v>
      </c>
      <c r="J54" s="20" t="str">
        <f>$A$7</f>
        <v>Trave emergente</v>
      </c>
      <c r="L54" s="30">
        <v>1</v>
      </c>
      <c r="M54" s="22">
        <f>IF(L54="","",L54*$D$7)</f>
        <v>4.2</v>
      </c>
      <c r="N54" s="22"/>
      <c r="O54" s="22">
        <f>IF(L54="","",L54*$F$7)</f>
        <v>5.4600000000000009</v>
      </c>
      <c r="P54" s="22">
        <f>IF(L54="","",L54*$G$7)</f>
        <v>4.2</v>
      </c>
    </row>
    <row r="55" spans="1:16" x14ac:dyDescent="0.45">
      <c r="A55" s="20" t="str">
        <f>$A$8</f>
        <v>Trave a spessore</v>
      </c>
      <c r="C55" s="30"/>
      <c r="D55" s="22" t="str">
        <f>IF(C55="","",C55*$D$8)</f>
        <v/>
      </c>
      <c r="E55" s="22"/>
      <c r="F55" s="22" t="str">
        <f>IF(C55="","",C55*$F$8)</f>
        <v/>
      </c>
      <c r="G55" s="22" t="str">
        <f>IF(C55="","",C55*$G$8)</f>
        <v/>
      </c>
      <c r="J55" s="20" t="str">
        <f>$A$8</f>
        <v>Trave a spessore</v>
      </c>
      <c r="L55" s="30"/>
      <c r="M55" s="22" t="str">
        <f>IF(L55="","",L55*$D$8)</f>
        <v/>
      </c>
      <c r="N55" s="22"/>
      <c r="O55" s="22" t="str">
        <f>IF(L55="","",L55*$F$8)</f>
        <v/>
      </c>
      <c r="P55" s="22" t="str">
        <f>IF(L55="","",L55*$G$8)</f>
        <v/>
      </c>
    </row>
    <row r="56" spans="1:16" x14ac:dyDescent="0.45">
      <c r="A56" s="20" t="str">
        <f>$A$10</f>
        <v>Tramezzi</v>
      </c>
      <c r="C56" s="30"/>
      <c r="D56" s="22" t="str">
        <f>IF(C56="","",C56*$D$10)</f>
        <v/>
      </c>
      <c r="E56" s="22"/>
      <c r="F56" s="22" t="str">
        <f>IF(C56="","",C56*$F$10)</f>
        <v/>
      </c>
      <c r="G56" s="22" t="str">
        <f>IF(C56="","",C56*$G$10)</f>
        <v/>
      </c>
      <c r="J56" s="20" t="str">
        <f>$A$10</f>
        <v>Tramezzi</v>
      </c>
      <c r="L56" s="30"/>
      <c r="M56" s="22" t="str">
        <f>IF(L56="","",L56*$D$10)</f>
        <v/>
      </c>
      <c r="N56" s="22"/>
      <c r="O56" s="22" t="str">
        <f>IF(L56="","",L56*$F$10)</f>
        <v/>
      </c>
      <c r="P56" s="22" t="str">
        <f>IF(L56="","",L56*$G$10)</f>
        <v/>
      </c>
    </row>
    <row r="57" spans="1:16" x14ac:dyDescent="0.45">
      <c r="A57" s="20" t="str">
        <f>$A$11</f>
        <v>Tamponature</v>
      </c>
      <c r="C57" s="30">
        <v>1</v>
      </c>
      <c r="D57" s="22">
        <f>IF(C57="","",C57*$D$11)</f>
        <v>6</v>
      </c>
      <c r="E57" s="22"/>
      <c r="F57" s="22">
        <f>IF(C57="","",C57*$F$11)</f>
        <v>7.8000000000000007</v>
      </c>
      <c r="G57" s="22">
        <f>IF(C57="","",C57*$G$11)</f>
        <v>6</v>
      </c>
      <c r="J57" s="20" t="str">
        <f>$A$11</f>
        <v>Tamponature</v>
      </c>
      <c r="L57" s="30">
        <v>1</v>
      </c>
      <c r="M57" s="22">
        <f>IF(L57="","",L57*$D$11)</f>
        <v>6</v>
      </c>
      <c r="N57" s="22"/>
      <c r="O57" s="22">
        <f>IF(L57="","",L57*$F$11)</f>
        <v>7.8000000000000007</v>
      </c>
      <c r="P57" s="22">
        <f>IF(L57="","",L57*$G$11)</f>
        <v>6</v>
      </c>
    </row>
    <row r="58" spans="1:16" x14ac:dyDescent="0.45">
      <c r="B58" s="20" t="s">
        <v>30</v>
      </c>
      <c r="D58" s="27">
        <f>SUM(D51:D57)</f>
        <v>12.2</v>
      </c>
      <c r="E58" s="27">
        <f>SUM(E51:E57)</f>
        <v>1.6</v>
      </c>
      <c r="F58" s="27">
        <f>SUM(F51:F57)</f>
        <v>18.260000000000002</v>
      </c>
      <c r="G58" s="27">
        <f>SUM(G51:G57)</f>
        <v>13.1</v>
      </c>
      <c r="K58" s="20" t="s">
        <v>30</v>
      </c>
      <c r="M58" s="27">
        <f>SUM(M51:M57)</f>
        <v>22.6</v>
      </c>
      <c r="N58" s="27">
        <f>SUM(N51:N57)</f>
        <v>12.4</v>
      </c>
      <c r="O58" s="27">
        <f>SUM(O51:O57)</f>
        <v>47.980000000000004</v>
      </c>
      <c r="P58" s="27">
        <f>SUM(P51:P57)</f>
        <v>30.040000000000003</v>
      </c>
    </row>
    <row r="59" spans="1:16" x14ac:dyDescent="0.45">
      <c r="A59" s="20" t="s">
        <v>212</v>
      </c>
      <c r="C59" s="21" t="s">
        <v>213</v>
      </c>
      <c r="D59" s="97">
        <v>4.0999999999999996</v>
      </c>
      <c r="E59" s="97" t="s">
        <v>214</v>
      </c>
      <c r="F59" s="97">
        <f>F58*D59^2/10</f>
        <v>30.695060000000002</v>
      </c>
      <c r="G59" s="97">
        <f>G58*D59^2/10</f>
        <v>22.021099999999997</v>
      </c>
      <c r="J59" s="20" t="s">
        <v>212</v>
      </c>
      <c r="L59" s="21" t="s">
        <v>213</v>
      </c>
      <c r="M59" s="97">
        <v>4.0999999999999996</v>
      </c>
      <c r="N59" s="97" t="s">
        <v>214</v>
      </c>
      <c r="O59" s="97">
        <f>O58*M59^2/10</f>
        <v>80.654380000000003</v>
      </c>
      <c r="P59" s="97">
        <f>P58*M59^2/10</f>
        <v>50.497239999999998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10" zoomScale="98" zoomScaleNormal="98" workbookViewId="0">
      <selection activeCell="S39" sqref="S39"/>
    </sheetView>
  </sheetViews>
  <sheetFormatPr defaultRowHeight="14.25" x14ac:dyDescent="0.45"/>
  <cols>
    <col min="1" max="1" width="9.73046875" style="20" customWidth="1"/>
    <col min="2" max="2" width="15.73046875" style="20" customWidth="1"/>
    <col min="3" max="7" width="9.06640625" style="20"/>
    <col min="8" max="9" width="7.59765625" style="20" customWidth="1"/>
    <col min="10" max="17" width="9.06640625" style="20"/>
    <col min="18" max="19" width="7.59765625" style="20" customWidth="1"/>
    <col min="20" max="16384" width="9.06640625" style="20"/>
  </cols>
  <sheetData>
    <row r="1" spans="1:19" x14ac:dyDescent="0.45">
      <c r="A1" s="8" t="s">
        <v>22</v>
      </c>
    </row>
    <row r="3" spans="1:19" ht="14.65" x14ac:dyDescent="0.45">
      <c r="D3" s="21" t="s">
        <v>12</v>
      </c>
      <c r="E3" s="21" t="s">
        <v>39</v>
      </c>
      <c r="F3" s="21" t="s">
        <v>27</v>
      </c>
      <c r="G3" s="21" t="s">
        <v>77</v>
      </c>
    </row>
    <row r="4" spans="1:19" x14ac:dyDescent="0.45">
      <c r="A4" s="8" t="s">
        <v>0</v>
      </c>
      <c r="B4" s="20" t="s">
        <v>53</v>
      </c>
      <c r="D4" s="22">
        <f>'Carichi unitari'!K4</f>
        <v>4</v>
      </c>
      <c r="E4" s="22">
        <f>'Carichi unitari'!L4+'Carichi unitari'!M4</f>
        <v>3.2</v>
      </c>
      <c r="F4" s="22">
        <f>'Carichi unitari'!R4</f>
        <v>10</v>
      </c>
      <c r="G4" s="22">
        <f>'Carichi unitari'!S4</f>
        <v>5.8</v>
      </c>
      <c r="H4" s="21" t="s">
        <v>4</v>
      </c>
      <c r="I4" s="21"/>
      <c r="J4" s="21"/>
    </row>
    <row r="5" spans="1:19" x14ac:dyDescent="0.45">
      <c r="A5" s="8" t="s">
        <v>9</v>
      </c>
      <c r="D5" s="22">
        <f>'Carichi unitari'!K6</f>
        <v>4</v>
      </c>
      <c r="E5" s="22">
        <f>'Carichi unitari'!M6</f>
        <v>4</v>
      </c>
      <c r="F5" s="22">
        <f>'Carichi unitari'!R6</f>
        <v>11.2</v>
      </c>
      <c r="G5" s="22">
        <f>'Carichi unitari'!S6</f>
        <v>6.4</v>
      </c>
      <c r="H5" s="21" t="s">
        <v>4</v>
      </c>
      <c r="I5" s="21"/>
      <c r="J5" s="21"/>
    </row>
    <row r="6" spans="1:19" x14ac:dyDescent="0.45">
      <c r="A6" s="8" t="s">
        <v>10</v>
      </c>
      <c r="B6" s="20" t="s">
        <v>37</v>
      </c>
      <c r="D6" s="22">
        <f>'Carichi unitari'!K7</f>
        <v>5</v>
      </c>
      <c r="E6" s="22">
        <f>'Carichi unitari'!M7</f>
        <v>4</v>
      </c>
      <c r="F6" s="22">
        <f>'Carichi unitari'!R7</f>
        <v>12.5</v>
      </c>
      <c r="G6" s="22">
        <f>'Carichi unitari'!S7</f>
        <v>7.4</v>
      </c>
      <c r="H6" s="21" t="s">
        <v>4</v>
      </c>
      <c r="I6" s="21"/>
      <c r="J6" s="21"/>
    </row>
    <row r="7" spans="1:19" x14ac:dyDescent="0.45">
      <c r="A7" s="8" t="s">
        <v>18</v>
      </c>
      <c r="D7" s="22">
        <f>'Carichi unitari'!K9</f>
        <v>4.2</v>
      </c>
      <c r="E7" s="23" t="s">
        <v>23</v>
      </c>
      <c r="F7" s="22">
        <f>'Carichi unitari'!R9</f>
        <v>5.4600000000000009</v>
      </c>
      <c r="G7" s="22">
        <f>'Carichi unitari'!S9</f>
        <v>4.2</v>
      </c>
      <c r="H7" s="21" t="s">
        <v>16</v>
      </c>
      <c r="I7" s="21"/>
      <c r="J7" s="21"/>
    </row>
    <row r="8" spans="1:19" x14ac:dyDescent="0.45">
      <c r="A8" s="8" t="s">
        <v>21</v>
      </c>
      <c r="D8" s="22">
        <f>'Carichi unitari'!K10</f>
        <v>1.8</v>
      </c>
      <c r="E8" s="23" t="s">
        <v>23</v>
      </c>
      <c r="F8" s="22">
        <f>'Carichi unitari'!R10</f>
        <v>2.3400000000000003</v>
      </c>
      <c r="G8" s="22">
        <f>'Carichi unitari'!S10</f>
        <v>1.8</v>
      </c>
      <c r="H8" s="21" t="s">
        <v>16</v>
      </c>
      <c r="I8" s="21"/>
      <c r="J8" s="21"/>
    </row>
    <row r="9" spans="1:19" x14ac:dyDescent="0.45">
      <c r="A9" s="8" t="s">
        <v>44</v>
      </c>
      <c r="D9" s="22">
        <f>'Carichi unitari'!K11</f>
        <v>14</v>
      </c>
      <c r="E9" s="23" t="s">
        <v>23</v>
      </c>
      <c r="F9" s="22">
        <f>'Carichi unitari'!R11</f>
        <v>18.2</v>
      </c>
      <c r="G9" s="22">
        <f>'Carichi unitari'!S11</f>
        <v>14</v>
      </c>
      <c r="H9" s="21" t="s">
        <v>45</v>
      </c>
      <c r="I9" s="21"/>
      <c r="J9" s="21"/>
    </row>
    <row r="10" spans="1:19" x14ac:dyDescent="0.45">
      <c r="A10" s="8" t="s">
        <v>15</v>
      </c>
      <c r="D10" s="22">
        <f>'Carichi unitari'!K12</f>
        <v>3</v>
      </c>
      <c r="E10" s="23" t="s">
        <v>23</v>
      </c>
      <c r="F10" s="22">
        <f>'Carichi unitari'!R12</f>
        <v>3.9000000000000004</v>
      </c>
      <c r="G10" s="22">
        <f>'Carichi unitari'!S12</f>
        <v>3</v>
      </c>
      <c r="H10" s="21" t="s">
        <v>16</v>
      </c>
      <c r="I10" s="21"/>
      <c r="J10" s="21"/>
    </row>
    <row r="11" spans="1:19" x14ac:dyDescent="0.45">
      <c r="A11" s="8" t="s">
        <v>17</v>
      </c>
      <c r="D11" s="22">
        <f>'Carichi unitari'!K13</f>
        <v>6</v>
      </c>
      <c r="E11" s="23" t="s">
        <v>23</v>
      </c>
      <c r="F11" s="22">
        <f>'Carichi unitari'!R13</f>
        <v>7.8000000000000007</v>
      </c>
      <c r="G11" s="22">
        <f>'Carichi unitari'!S13</f>
        <v>6</v>
      </c>
      <c r="H11" s="21" t="s">
        <v>16</v>
      </c>
      <c r="I11" s="21"/>
      <c r="J11" s="21"/>
    </row>
    <row r="14" spans="1:19" x14ac:dyDescent="0.45">
      <c r="A14" s="8" t="s">
        <v>43</v>
      </c>
      <c r="B14" s="9" t="s">
        <v>46</v>
      </c>
      <c r="K14" s="8" t="s">
        <v>43</v>
      </c>
      <c r="L14" s="9" t="s">
        <v>47</v>
      </c>
    </row>
    <row r="16" spans="1:19" ht="14.65" x14ac:dyDescent="0.45">
      <c r="A16" s="20" t="s">
        <v>28</v>
      </c>
      <c r="C16" s="20" t="s">
        <v>29</v>
      </c>
      <c r="D16" s="21" t="s">
        <v>12</v>
      </c>
      <c r="E16" s="21" t="s">
        <v>39</v>
      </c>
      <c r="F16" s="21" t="s">
        <v>27</v>
      </c>
      <c r="G16" s="21" t="s">
        <v>77</v>
      </c>
      <c r="H16" s="21" t="s">
        <v>50</v>
      </c>
      <c r="I16" s="21" t="s">
        <v>51</v>
      </c>
      <c r="K16" s="20" t="s">
        <v>28</v>
      </c>
      <c r="M16" s="20" t="s">
        <v>29</v>
      </c>
      <c r="N16" s="21" t="s">
        <v>12</v>
      </c>
      <c r="O16" s="21" t="s">
        <v>39</v>
      </c>
      <c r="P16" s="21" t="s">
        <v>27</v>
      </c>
      <c r="Q16" s="21" t="s">
        <v>77</v>
      </c>
      <c r="R16" s="21" t="s">
        <v>50</v>
      </c>
      <c r="S16" s="21" t="s">
        <v>51</v>
      </c>
    </row>
    <row r="17" spans="1:19" x14ac:dyDescent="0.45">
      <c r="A17" s="20" t="str">
        <f>$A$4</f>
        <v>Solaio</v>
      </c>
      <c r="C17" s="24">
        <f>1.1*4.25*1.1*4.05</f>
        <v>20.827125000000002</v>
      </c>
      <c r="D17" s="22">
        <f>IF(C17="","",C17*$D$4)</f>
        <v>83.308500000000009</v>
      </c>
      <c r="E17" s="22">
        <f>IF(C17="","",C17*$E$4)</f>
        <v>66.646800000000013</v>
      </c>
      <c r="F17" s="22">
        <f>IF(C17="","",C17*$F$4)</f>
        <v>208.27125000000001</v>
      </c>
      <c r="G17" s="22">
        <f>IF(C17="","",C17*$G$4)</f>
        <v>120.79732500000001</v>
      </c>
      <c r="H17" s="25">
        <v>5</v>
      </c>
      <c r="I17" s="26">
        <f>G26</f>
        <v>160</v>
      </c>
      <c r="K17" s="20" t="str">
        <f>$A$4</f>
        <v>Solaio</v>
      </c>
      <c r="M17" s="24">
        <f>1.9*1.1*4.3</f>
        <v>8.9869999999999983</v>
      </c>
      <c r="N17" s="22">
        <f>IF(M17="","",M17*$D$4)</f>
        <v>35.947999999999993</v>
      </c>
      <c r="O17" s="22">
        <f>IF(M17="","",M17*$E$4)</f>
        <v>28.758399999999995</v>
      </c>
      <c r="P17" s="22">
        <f>IF(M17="","",M17*$F$4)</f>
        <v>89.869999999999976</v>
      </c>
      <c r="Q17" s="22">
        <f>IF(M17="","",M17*$G$4)</f>
        <v>52.124599999999987</v>
      </c>
      <c r="R17" s="25">
        <v>6</v>
      </c>
      <c r="S17" s="26">
        <v>115</v>
      </c>
    </row>
    <row r="18" spans="1:19" x14ac:dyDescent="0.45">
      <c r="A18" s="20" t="str">
        <f>$A$5</f>
        <v>Balconi e terrazzini</v>
      </c>
      <c r="C18" s="24"/>
      <c r="D18" s="22" t="str">
        <f>IF(C18="","",C18*$D$5)</f>
        <v/>
      </c>
      <c r="E18" s="22" t="str">
        <f>IF(C18="","",C18*$E$5)</f>
        <v/>
      </c>
      <c r="F18" s="22" t="str">
        <f>IF(C18="","",C18*$F$5)</f>
        <v/>
      </c>
      <c r="G18" s="22" t="str">
        <f>IF(C18="","",C18*$G$5)</f>
        <v/>
      </c>
      <c r="H18" s="25">
        <v>4</v>
      </c>
      <c r="I18" s="26">
        <f>I17+G26</f>
        <v>320</v>
      </c>
      <c r="K18" s="20" t="str">
        <f>$A$5</f>
        <v>Balconi e terrazzini</v>
      </c>
      <c r="M18" s="24"/>
      <c r="N18" s="22" t="str">
        <f>IF(M18="","",M18*$D$5)</f>
        <v/>
      </c>
      <c r="O18" s="22" t="str">
        <f>IF(M18="","",M18*$E$5)</f>
        <v/>
      </c>
      <c r="P18" s="22" t="str">
        <f>IF(M18="","",M18*$F$5)</f>
        <v/>
      </c>
      <c r="Q18" s="22" t="str">
        <f>IF(M18="","",M18*$G$5)</f>
        <v/>
      </c>
      <c r="R18" s="25">
        <v>5</v>
      </c>
      <c r="S18" s="26">
        <f>S17+Q26</f>
        <v>290</v>
      </c>
    </row>
    <row r="19" spans="1:19" x14ac:dyDescent="0.45">
      <c r="A19" s="20" t="str">
        <f>$A$6</f>
        <v>Scala</v>
      </c>
      <c r="B19" s="20" t="s">
        <v>37</v>
      </c>
      <c r="C19" s="24"/>
      <c r="D19" s="22" t="str">
        <f>IF(C19="","",C19*$D$6)</f>
        <v/>
      </c>
      <c r="E19" s="22" t="str">
        <f>IF(C19="","",C19*$E$6)</f>
        <v/>
      </c>
      <c r="F19" s="22" t="str">
        <f>IF(C19="","",C19*$F$6)</f>
        <v/>
      </c>
      <c r="G19" s="22" t="str">
        <f>IF(C19="","",C19*$G$6)</f>
        <v/>
      </c>
      <c r="H19" s="25">
        <v>3</v>
      </c>
      <c r="I19" s="26">
        <f>I18+G26</f>
        <v>480</v>
      </c>
      <c r="K19" s="20" t="str">
        <f>$A$6</f>
        <v>Scala</v>
      </c>
      <c r="L19" s="20" t="s">
        <v>37</v>
      </c>
      <c r="M19" s="24">
        <f>1.5*1.1*4.3</f>
        <v>7.0950000000000006</v>
      </c>
      <c r="N19" s="22">
        <f>IF(M19="","",M19*$D$6)</f>
        <v>35.475000000000001</v>
      </c>
      <c r="O19" s="22">
        <f>IF(M19="","",M19*$E$6)</f>
        <v>28.380000000000003</v>
      </c>
      <c r="P19" s="22">
        <f>IF(M19="","",M19*$F$6)</f>
        <v>88.687500000000014</v>
      </c>
      <c r="Q19" s="22">
        <f>IF(M19="","",M19*$G$6)</f>
        <v>52.503000000000007</v>
      </c>
      <c r="R19" s="25">
        <v>4</v>
      </c>
      <c r="S19" s="26">
        <f>S18+Q26</f>
        <v>465</v>
      </c>
    </row>
    <row r="20" spans="1:19" x14ac:dyDescent="0.45">
      <c r="A20" s="20" t="str">
        <f>$A$7</f>
        <v>Trave emergente</v>
      </c>
      <c r="C20" s="24">
        <f>1.1*4.05</f>
        <v>4.4550000000000001</v>
      </c>
      <c r="D20" s="22">
        <f>IF(C20="","",C20*$D$7)</f>
        <v>18.711000000000002</v>
      </c>
      <c r="E20" s="22"/>
      <c r="F20" s="22">
        <f>IF(C20="","",C20*$F$7)</f>
        <v>24.324300000000004</v>
      </c>
      <c r="G20" s="22">
        <f>IF(C20="","",C20*$G$7)</f>
        <v>18.711000000000002</v>
      </c>
      <c r="H20" s="25">
        <v>2</v>
      </c>
      <c r="I20" s="26">
        <f>I19+G26</f>
        <v>640</v>
      </c>
      <c r="K20" s="20" t="str">
        <f>$A$7</f>
        <v>Trave emergente</v>
      </c>
      <c r="M20" s="24">
        <f>1.1*4.3</f>
        <v>4.7300000000000004</v>
      </c>
      <c r="N20" s="22">
        <f>IF(M20="","",M20*$D$7)</f>
        <v>19.866000000000003</v>
      </c>
      <c r="O20" s="22"/>
      <c r="P20" s="22">
        <f>IF(M20="","",M20*$F$7)</f>
        <v>25.825800000000008</v>
      </c>
      <c r="Q20" s="22">
        <f>IF(M20="","",M20*$G$7)</f>
        <v>19.866000000000003</v>
      </c>
      <c r="R20" s="25">
        <v>3</v>
      </c>
      <c r="S20" s="26">
        <f>S19+Q26</f>
        <v>640</v>
      </c>
    </row>
    <row r="21" spans="1:19" x14ac:dyDescent="0.45">
      <c r="A21" s="20" t="str">
        <f>$A$8</f>
        <v>Trave a spessore</v>
      </c>
      <c r="C21" s="24">
        <f>1.1*4.25</f>
        <v>4.6750000000000007</v>
      </c>
      <c r="D21" s="22">
        <f>IF(C21="","",C21*$D$8)</f>
        <v>8.4150000000000009</v>
      </c>
      <c r="E21" s="22"/>
      <c r="F21" s="22">
        <f>IF(C21="","",C21*$F$8)</f>
        <v>10.939500000000002</v>
      </c>
      <c r="G21" s="22">
        <f>IF(C21="","",C21*$G$8)</f>
        <v>8.4150000000000009</v>
      </c>
      <c r="H21" s="25">
        <v>1</v>
      </c>
      <c r="I21" s="26">
        <f>I20+G26</f>
        <v>800</v>
      </c>
      <c r="K21" s="20" t="str">
        <f>$A$8</f>
        <v>Trave a spessore</v>
      </c>
      <c r="M21" s="24">
        <v>3.4</v>
      </c>
      <c r="N21" s="22">
        <f>IF(M21="","",M21*$D$8)</f>
        <v>6.12</v>
      </c>
      <c r="O21" s="22"/>
      <c r="P21" s="22">
        <f>IF(M21="","",M21*$F$8)</f>
        <v>7.9560000000000004</v>
      </c>
      <c r="Q21" s="22">
        <f>IF(M21="","",M21*$G$8)</f>
        <v>6.12</v>
      </c>
      <c r="R21" s="25">
        <v>2</v>
      </c>
      <c r="S21" s="26">
        <f>S20+Q26</f>
        <v>815</v>
      </c>
    </row>
    <row r="22" spans="1:19" x14ac:dyDescent="0.45">
      <c r="A22" s="20" t="str">
        <f>$A$9</f>
        <v>Pilastri</v>
      </c>
      <c r="C22" s="24">
        <v>1</v>
      </c>
      <c r="D22" s="22">
        <f>IF(C22="","",C22*$D$9)</f>
        <v>14</v>
      </c>
      <c r="E22" s="22"/>
      <c r="F22" s="22">
        <f>IF(C22="","",C22*$F$9)</f>
        <v>18.2</v>
      </c>
      <c r="G22" s="22">
        <f>IF(C22="","",C22*$G$9)</f>
        <v>14</v>
      </c>
      <c r="K22" s="20" t="str">
        <f>$A$9</f>
        <v>Pilastri</v>
      </c>
      <c r="M22" s="24">
        <v>1</v>
      </c>
      <c r="N22" s="22">
        <f>IF(M22="","",M22*$D$9)</f>
        <v>14</v>
      </c>
      <c r="O22" s="22"/>
      <c r="P22" s="22">
        <f>IF(M22="","",M22*$F$9)</f>
        <v>18.2</v>
      </c>
      <c r="Q22" s="22">
        <f>IF(M22="","",M22*$G$9)</f>
        <v>14</v>
      </c>
      <c r="R22" s="25">
        <v>1</v>
      </c>
      <c r="S22" s="26">
        <f>S21+Q26</f>
        <v>990</v>
      </c>
    </row>
    <row r="23" spans="1:19" x14ac:dyDescent="0.45">
      <c r="A23" s="20" t="str">
        <f>$A$10</f>
        <v>Tramezzi</v>
      </c>
      <c r="C23" s="24"/>
      <c r="D23" s="22" t="str">
        <f>IF(C23="","",C23*$D$10)</f>
        <v/>
      </c>
      <c r="E23" s="22"/>
      <c r="F23" s="22" t="str">
        <f>IF(C23="","",C23*$F$10)</f>
        <v/>
      </c>
      <c r="G23" s="22" t="str">
        <f>IF(C23="","",C23*$G$10)</f>
        <v/>
      </c>
      <c r="K23" s="20" t="str">
        <f>$A$10</f>
        <v>Tramezzi</v>
      </c>
      <c r="M23" s="24"/>
      <c r="N23" s="22" t="str">
        <f>IF(M23="","",M23*$D$10)</f>
        <v/>
      </c>
      <c r="O23" s="22"/>
      <c r="P23" s="22" t="str">
        <f>IF(M23="","",M23*$F$10)</f>
        <v/>
      </c>
      <c r="Q23" s="22" t="str">
        <f>IF(M23="","",M23*$G$10)</f>
        <v/>
      </c>
    </row>
    <row r="24" spans="1:19" x14ac:dyDescent="0.45">
      <c r="A24" s="20" t="str">
        <f>$A$11</f>
        <v>Tamponature</v>
      </c>
      <c r="C24" s="24"/>
      <c r="D24" s="22" t="str">
        <f>IF(C24="","",C24*$D$11)</f>
        <v/>
      </c>
      <c r="E24" s="22"/>
      <c r="F24" s="22" t="str">
        <f>IF(C24="","",C24*$F$11)</f>
        <v/>
      </c>
      <c r="G24" s="22" t="str">
        <f>IF(C24="","",C24*$G$11)</f>
        <v/>
      </c>
      <c r="K24" s="20" t="str">
        <f>$A$11</f>
        <v>Tamponature</v>
      </c>
      <c r="M24" s="24">
        <f>1.1*4.3</f>
        <v>4.7300000000000004</v>
      </c>
      <c r="N24" s="22">
        <f>IF(M24="","",M24*$D$11)</f>
        <v>28.380000000000003</v>
      </c>
      <c r="O24" s="22"/>
      <c r="P24" s="22">
        <f>IF(M24="","",M24*$F$11)</f>
        <v>36.894000000000005</v>
      </c>
      <c r="Q24" s="22">
        <f>IF(M24="","",M24*$G$11)</f>
        <v>28.380000000000003</v>
      </c>
    </row>
    <row r="25" spans="1:19" x14ac:dyDescent="0.45">
      <c r="B25" s="20" t="s">
        <v>30</v>
      </c>
      <c r="D25" s="27">
        <f>SUM(D17:D24)</f>
        <v>124.43450000000001</v>
      </c>
      <c r="E25" s="27">
        <f>SUM(E17:E24)</f>
        <v>66.646800000000013</v>
      </c>
      <c r="F25" s="27">
        <f>SUM(F17:F24)</f>
        <v>261.73505</v>
      </c>
      <c r="G25" s="27">
        <f>SUM(G17:G24)</f>
        <v>161.92332500000001</v>
      </c>
      <c r="L25" s="20" t="s">
        <v>30</v>
      </c>
      <c r="N25" s="27">
        <f>SUM(N17:N24)</f>
        <v>139.78900000000002</v>
      </c>
      <c r="O25" s="27">
        <f>SUM(O17:O24)</f>
        <v>57.138399999999997</v>
      </c>
      <c r="P25" s="27">
        <f>SUM(P17:P24)</f>
        <v>267.43330000000003</v>
      </c>
      <c r="Q25" s="27">
        <f>SUM(Q17:Q24)</f>
        <v>172.99359999999999</v>
      </c>
    </row>
    <row r="26" spans="1:19" x14ac:dyDescent="0.45">
      <c r="F26" s="28" t="s">
        <v>52</v>
      </c>
      <c r="G26" s="29">
        <v>160</v>
      </c>
      <c r="P26" s="28" t="s">
        <v>52</v>
      </c>
      <c r="Q26" s="29">
        <v>175</v>
      </c>
    </row>
    <row r="28" spans="1:19" x14ac:dyDescent="0.45">
      <c r="A28" s="8" t="s">
        <v>43</v>
      </c>
      <c r="B28" s="9" t="s">
        <v>48</v>
      </c>
      <c r="K28" s="8" t="s">
        <v>43</v>
      </c>
      <c r="L28" s="9" t="s">
        <v>49</v>
      </c>
    </row>
    <row r="30" spans="1:19" ht="14.65" x14ac:dyDescent="0.45">
      <c r="A30" s="20" t="s">
        <v>28</v>
      </c>
      <c r="C30" s="20" t="s">
        <v>29</v>
      </c>
      <c r="D30" s="21" t="s">
        <v>12</v>
      </c>
      <c r="E30" s="21" t="s">
        <v>39</v>
      </c>
      <c r="F30" s="21" t="s">
        <v>27</v>
      </c>
      <c r="G30" s="21" t="s">
        <v>77</v>
      </c>
      <c r="H30" s="21" t="s">
        <v>50</v>
      </c>
      <c r="I30" s="21" t="s">
        <v>51</v>
      </c>
      <c r="K30" s="20" t="s">
        <v>28</v>
      </c>
      <c r="M30" s="20" t="s">
        <v>29</v>
      </c>
      <c r="N30" s="21" t="s">
        <v>12</v>
      </c>
      <c r="O30" s="21" t="s">
        <v>39</v>
      </c>
      <c r="P30" s="21" t="s">
        <v>27</v>
      </c>
      <c r="Q30" s="21" t="s">
        <v>77</v>
      </c>
      <c r="R30" s="21" t="s">
        <v>50</v>
      </c>
      <c r="S30" s="21" t="s">
        <v>51</v>
      </c>
    </row>
    <row r="31" spans="1:19" x14ac:dyDescent="0.45">
      <c r="A31" s="20" t="str">
        <f>$A$4</f>
        <v>Solaio</v>
      </c>
      <c r="C31" s="24">
        <f>3.9*2.35</f>
        <v>9.1650000000000009</v>
      </c>
      <c r="D31" s="22">
        <f>IF(C31="","",C31*$D$4)</f>
        <v>36.660000000000004</v>
      </c>
      <c r="E31" s="22">
        <f>IF(C31="","",C31*$E$4)</f>
        <v>29.328000000000003</v>
      </c>
      <c r="F31" s="22">
        <f>IF(C31="","",C31*$F$4)</f>
        <v>91.65</v>
      </c>
      <c r="G31" s="22">
        <f>IF(C31="","",C31*$G$4)</f>
        <v>53.157000000000004</v>
      </c>
      <c r="H31" s="25">
        <v>5</v>
      </c>
      <c r="I31" s="26">
        <f>G40</f>
        <v>110</v>
      </c>
      <c r="K31" s="20" t="str">
        <f>$A$4</f>
        <v>Solaio</v>
      </c>
      <c r="M31" s="24">
        <f>1.8*2.35</f>
        <v>4.2300000000000004</v>
      </c>
      <c r="N31" s="22">
        <f>IF(M31="","",M31*$D$4)</f>
        <v>16.920000000000002</v>
      </c>
      <c r="O31" s="22">
        <f>IF(M31="","",M31*$E$4)</f>
        <v>13.536000000000001</v>
      </c>
      <c r="P31" s="22">
        <f>IF(M31="","",M31*$F$4)</f>
        <v>42.300000000000004</v>
      </c>
      <c r="Q31" s="22">
        <f>IF(M31="","",M31*$G$4)</f>
        <v>24.534000000000002</v>
      </c>
      <c r="R31" s="25">
        <v>5</v>
      </c>
      <c r="S31" s="26">
        <f>Q40</f>
        <v>80</v>
      </c>
    </row>
    <row r="32" spans="1:19" x14ac:dyDescent="0.45">
      <c r="A32" s="20" t="str">
        <f>$A$5</f>
        <v>Balconi e terrazzini</v>
      </c>
      <c r="C32" s="24"/>
      <c r="D32" s="22" t="str">
        <f>IF(C32="","",C32*$D$5)</f>
        <v/>
      </c>
      <c r="E32" s="22" t="str">
        <f>IF(C32="","",C32*$E$5)</f>
        <v/>
      </c>
      <c r="F32" s="22" t="str">
        <f>IF(C32="","",C32*$F$5)</f>
        <v/>
      </c>
      <c r="G32" s="22" t="str">
        <f>IF(C32="","",C32*$G$5)</f>
        <v/>
      </c>
      <c r="H32" s="25">
        <v>4</v>
      </c>
      <c r="I32" s="26">
        <f>I31+G40</f>
        <v>220</v>
      </c>
      <c r="K32" s="20" t="str">
        <f>$A$5</f>
        <v>Balconi e terrazzini</v>
      </c>
      <c r="M32" s="24"/>
      <c r="N32" s="22" t="str">
        <f>IF(M32="","",M32*$D$5)</f>
        <v/>
      </c>
      <c r="O32" s="22" t="str">
        <f>IF(M32="","",M32*$E$5)</f>
        <v/>
      </c>
      <c r="P32" s="22" t="str">
        <f>IF(M32="","",M32*$F$5)</f>
        <v/>
      </c>
      <c r="Q32" s="22" t="str">
        <f>IF(M32="","",M32*$G$5)</f>
        <v/>
      </c>
      <c r="R32" s="25">
        <v>4</v>
      </c>
      <c r="S32" s="26">
        <f>S31+Q40</f>
        <v>160</v>
      </c>
    </row>
    <row r="33" spans="1:19" x14ac:dyDescent="0.45">
      <c r="A33" s="20" t="str">
        <f>$A$6</f>
        <v>Scala</v>
      </c>
      <c r="B33" s="20" t="s">
        <v>37</v>
      </c>
      <c r="C33" s="24"/>
      <c r="D33" s="22" t="str">
        <f>IF(C33="","",C33*$D$6)</f>
        <v/>
      </c>
      <c r="E33" s="22" t="str">
        <f>IF(C33="","",C33*$E$6)</f>
        <v/>
      </c>
      <c r="F33" s="22" t="str">
        <f>IF(C33="","",C33*$F$6)</f>
        <v/>
      </c>
      <c r="G33" s="22" t="str">
        <f>IF(C33="","",C33*$G$6)</f>
        <v/>
      </c>
      <c r="H33" s="25">
        <v>3</v>
      </c>
      <c r="I33" s="26">
        <f>I32+G40</f>
        <v>330</v>
      </c>
      <c r="K33" s="20" t="str">
        <f>$A$6</f>
        <v>Scala</v>
      </c>
      <c r="L33" s="20" t="s">
        <v>37</v>
      </c>
      <c r="M33" s="24"/>
      <c r="N33" s="22" t="str">
        <f>IF(M33="","",M33*$D$6)</f>
        <v/>
      </c>
      <c r="O33" s="22" t="str">
        <f>IF(M33="","",M33*$E$6)</f>
        <v/>
      </c>
      <c r="P33" s="22" t="str">
        <f>IF(M33="","",M33*$F$6)</f>
        <v/>
      </c>
      <c r="Q33" s="22" t="str">
        <f>IF(M33="","",M33*$G$6)</f>
        <v/>
      </c>
      <c r="R33" s="25">
        <v>3</v>
      </c>
      <c r="S33" s="26">
        <f>S32+Q40</f>
        <v>240</v>
      </c>
    </row>
    <row r="34" spans="1:19" x14ac:dyDescent="0.45">
      <c r="A34" s="20" t="str">
        <f>$A$7</f>
        <v>Trave emergente</v>
      </c>
      <c r="C34" s="24">
        <v>3.9</v>
      </c>
      <c r="D34" s="22">
        <f>IF(C34="","",C34*$D$7)</f>
        <v>16.38</v>
      </c>
      <c r="E34" s="22"/>
      <c r="F34" s="22">
        <f>IF(C34="","",C34*$F$7)</f>
        <v>21.294000000000004</v>
      </c>
      <c r="G34" s="22">
        <f>IF(C34="","",C34*$G$7)</f>
        <v>16.38</v>
      </c>
      <c r="H34" s="25">
        <v>2</v>
      </c>
      <c r="I34" s="26">
        <f>I33+G40</f>
        <v>440</v>
      </c>
      <c r="K34" s="20" t="str">
        <f>$A$7</f>
        <v>Trave emergente</v>
      </c>
      <c r="M34" s="24">
        <v>4.1500000000000004</v>
      </c>
      <c r="N34" s="22">
        <f>IF(M34="","",M34*$D$7)</f>
        <v>17.430000000000003</v>
      </c>
      <c r="O34" s="22"/>
      <c r="P34" s="22">
        <f>IF(M34="","",M34*$F$7)</f>
        <v>22.659000000000006</v>
      </c>
      <c r="Q34" s="22">
        <f>IF(M34="","",M34*$G$7)</f>
        <v>17.430000000000003</v>
      </c>
      <c r="R34" s="25">
        <v>2</v>
      </c>
      <c r="S34" s="26">
        <f>S33+Q40</f>
        <v>320</v>
      </c>
    </row>
    <row r="35" spans="1:19" x14ac:dyDescent="0.45">
      <c r="A35" s="20" t="str">
        <f>$A$8</f>
        <v>Trave a spessore</v>
      </c>
      <c r="C35" s="24">
        <v>2.35</v>
      </c>
      <c r="D35" s="22">
        <f>IF(C35="","",C35*$D$8)</f>
        <v>4.2300000000000004</v>
      </c>
      <c r="E35" s="22"/>
      <c r="F35" s="22">
        <f>IF(C35="","",C35*$F$8)</f>
        <v>5.4990000000000006</v>
      </c>
      <c r="G35" s="22">
        <f>IF(C35="","",C35*$G$8)</f>
        <v>4.2300000000000004</v>
      </c>
      <c r="H35" s="25">
        <v>1</v>
      </c>
      <c r="I35" s="26">
        <f>I34+G40</f>
        <v>550</v>
      </c>
      <c r="K35" s="20" t="str">
        <f>$A$8</f>
        <v>Trave a spessore</v>
      </c>
      <c r="M35" s="24"/>
      <c r="N35" s="22" t="str">
        <f>IF(M35="","",M35*$D$8)</f>
        <v/>
      </c>
      <c r="O35" s="22"/>
      <c r="P35" s="22" t="str">
        <f>IF(M35="","",M35*$F$8)</f>
        <v/>
      </c>
      <c r="Q35" s="22" t="str">
        <f>IF(M35="","",M35*$G$8)</f>
        <v/>
      </c>
      <c r="R35" s="25">
        <v>1</v>
      </c>
      <c r="S35" s="26">
        <f>S34+Q40</f>
        <v>400</v>
      </c>
    </row>
    <row r="36" spans="1:19" x14ac:dyDescent="0.45">
      <c r="A36" s="20" t="str">
        <f>$A$9</f>
        <v>Pilastri</v>
      </c>
      <c r="C36" s="24">
        <v>1</v>
      </c>
      <c r="D36" s="22">
        <f>IF(C36="","",C36*$D$9)</f>
        <v>14</v>
      </c>
      <c r="E36" s="22"/>
      <c r="F36" s="22">
        <f>IF(C36="","",C36*$F$9)</f>
        <v>18.2</v>
      </c>
      <c r="G36" s="22">
        <f>IF(C36="","",C36*$G$9)</f>
        <v>14</v>
      </c>
      <c r="K36" s="20" t="str">
        <f>$A$9</f>
        <v>Pilastri</v>
      </c>
      <c r="M36" s="24">
        <v>1</v>
      </c>
      <c r="N36" s="22">
        <f>IF(M36="","",M36*$D$9)</f>
        <v>14</v>
      </c>
      <c r="O36" s="22"/>
      <c r="P36" s="22">
        <f>IF(M36="","",M36*$F$9)</f>
        <v>18.2</v>
      </c>
      <c r="Q36" s="22">
        <f>IF(M36="","",M36*$G$9)</f>
        <v>14</v>
      </c>
    </row>
    <row r="37" spans="1:19" x14ac:dyDescent="0.45">
      <c r="A37" s="20" t="str">
        <f>$A$10</f>
        <v>Tramezzi</v>
      </c>
      <c r="C37" s="24"/>
      <c r="D37" s="22" t="str">
        <f>IF(C37="","",C37*$D$10)</f>
        <v/>
      </c>
      <c r="E37" s="22"/>
      <c r="F37" s="22" t="str">
        <f>IF(C37="","",C37*$F$10)</f>
        <v/>
      </c>
      <c r="G37" s="22" t="str">
        <f>IF(C37="","",C37*$G$10)</f>
        <v/>
      </c>
      <c r="K37" s="20" t="str">
        <f>$A$10</f>
        <v>Tramezzi</v>
      </c>
      <c r="M37" s="24"/>
      <c r="N37" s="22" t="str">
        <f>IF(M37="","",M37*$D$10)</f>
        <v/>
      </c>
      <c r="O37" s="22"/>
      <c r="P37" s="22" t="str">
        <f>IF(M37="","",M37*$F$10)</f>
        <v/>
      </c>
      <c r="Q37" s="22" t="str">
        <f>IF(M37="","",M37*$G$10)</f>
        <v/>
      </c>
    </row>
    <row r="38" spans="1:19" x14ac:dyDescent="0.45">
      <c r="A38" s="20" t="str">
        <f>$A$11</f>
        <v>Tamponature</v>
      </c>
      <c r="C38" s="24">
        <v>3.9</v>
      </c>
      <c r="D38" s="22">
        <f>IF(C38="","",C38*$D$11)</f>
        <v>23.4</v>
      </c>
      <c r="E38" s="22"/>
      <c r="F38" s="22">
        <f>IF(C38="","",C38*$F$11)</f>
        <v>30.42</v>
      </c>
      <c r="G38" s="22">
        <f>IF(C38="","",C38*$G$11)</f>
        <v>23.4</v>
      </c>
      <c r="K38" s="20" t="str">
        <f>$A$11</f>
        <v>Tamponature</v>
      </c>
      <c r="M38" s="24">
        <v>4.1500000000000004</v>
      </c>
      <c r="N38" s="22">
        <f>IF(M38="","",M38*$D$11)</f>
        <v>24.900000000000002</v>
      </c>
      <c r="O38" s="22"/>
      <c r="P38" s="22">
        <f>IF(M38="","",M38*$F$11)</f>
        <v>32.370000000000005</v>
      </c>
      <c r="Q38" s="22">
        <f>IF(M38="","",M38*$G$11)</f>
        <v>24.900000000000002</v>
      </c>
    </row>
    <row r="39" spans="1:19" x14ac:dyDescent="0.45">
      <c r="B39" s="20" t="s">
        <v>30</v>
      </c>
      <c r="D39" s="27">
        <f>SUM(D31:D38)</f>
        <v>94.670000000000016</v>
      </c>
      <c r="E39" s="27">
        <f>SUM(E31:E38)</f>
        <v>29.328000000000003</v>
      </c>
      <c r="F39" s="27">
        <f>SUM(F31:F38)</f>
        <v>167.06299999999999</v>
      </c>
      <c r="G39" s="27">
        <f>SUM(G31:G38)</f>
        <v>111.167</v>
      </c>
      <c r="L39" s="20" t="s">
        <v>30</v>
      </c>
      <c r="N39" s="27">
        <f>SUM(N31:N38)</f>
        <v>73.250000000000014</v>
      </c>
      <c r="O39" s="27">
        <f>SUM(O31:O38)</f>
        <v>13.536000000000001</v>
      </c>
      <c r="P39" s="27">
        <f>SUM(P31:P38)</f>
        <v>115.52900000000001</v>
      </c>
      <c r="Q39" s="27">
        <f>SUM(Q31:Q38)</f>
        <v>80.864000000000004</v>
      </c>
    </row>
    <row r="40" spans="1:19" x14ac:dyDescent="0.45">
      <c r="F40" s="28" t="s">
        <v>52</v>
      </c>
      <c r="G40" s="29">
        <v>110</v>
      </c>
      <c r="P40" s="28" t="s">
        <v>52</v>
      </c>
      <c r="Q40" s="29">
        <v>80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2" sqref="A2"/>
    </sheetView>
  </sheetViews>
  <sheetFormatPr defaultRowHeight="14.25" x14ac:dyDescent="0.45"/>
  <cols>
    <col min="1" max="1" width="18.73046875" style="14" customWidth="1"/>
    <col min="2" max="4" width="10.73046875" style="14" customWidth="1"/>
    <col min="5" max="256" width="9.06640625" style="14"/>
    <col min="257" max="257" width="18.73046875" style="14" customWidth="1"/>
    <col min="258" max="260" width="10.73046875" style="14" customWidth="1"/>
    <col min="261" max="512" width="9.06640625" style="14"/>
    <col min="513" max="513" width="18.73046875" style="14" customWidth="1"/>
    <col min="514" max="516" width="10.73046875" style="14" customWidth="1"/>
    <col min="517" max="768" width="9.06640625" style="14"/>
    <col min="769" max="769" width="18.73046875" style="14" customWidth="1"/>
    <col min="770" max="772" width="10.73046875" style="14" customWidth="1"/>
    <col min="773" max="1024" width="9.06640625" style="14"/>
    <col min="1025" max="1025" width="18.73046875" style="14" customWidth="1"/>
    <col min="1026" max="1028" width="10.73046875" style="14" customWidth="1"/>
    <col min="1029" max="1280" width="9.06640625" style="14"/>
    <col min="1281" max="1281" width="18.73046875" style="14" customWidth="1"/>
    <col min="1282" max="1284" width="10.73046875" style="14" customWidth="1"/>
    <col min="1285" max="1536" width="9.06640625" style="14"/>
    <col min="1537" max="1537" width="18.73046875" style="14" customWidth="1"/>
    <col min="1538" max="1540" width="10.73046875" style="14" customWidth="1"/>
    <col min="1541" max="1792" width="9.06640625" style="14"/>
    <col min="1793" max="1793" width="18.73046875" style="14" customWidth="1"/>
    <col min="1794" max="1796" width="10.73046875" style="14" customWidth="1"/>
    <col min="1797" max="2048" width="9.06640625" style="14"/>
    <col min="2049" max="2049" width="18.73046875" style="14" customWidth="1"/>
    <col min="2050" max="2052" width="10.73046875" style="14" customWidth="1"/>
    <col min="2053" max="2304" width="9.06640625" style="14"/>
    <col min="2305" max="2305" width="18.73046875" style="14" customWidth="1"/>
    <col min="2306" max="2308" width="10.73046875" style="14" customWidth="1"/>
    <col min="2309" max="2560" width="9.06640625" style="14"/>
    <col min="2561" max="2561" width="18.73046875" style="14" customWidth="1"/>
    <col min="2562" max="2564" width="10.73046875" style="14" customWidth="1"/>
    <col min="2565" max="2816" width="9.06640625" style="14"/>
    <col min="2817" max="2817" width="18.73046875" style="14" customWidth="1"/>
    <col min="2818" max="2820" width="10.73046875" style="14" customWidth="1"/>
    <col min="2821" max="3072" width="9.06640625" style="14"/>
    <col min="3073" max="3073" width="18.73046875" style="14" customWidth="1"/>
    <col min="3074" max="3076" width="10.73046875" style="14" customWidth="1"/>
    <col min="3077" max="3328" width="9.06640625" style="14"/>
    <col min="3329" max="3329" width="18.73046875" style="14" customWidth="1"/>
    <col min="3330" max="3332" width="10.73046875" style="14" customWidth="1"/>
    <col min="3333" max="3584" width="9.06640625" style="14"/>
    <col min="3585" max="3585" width="18.73046875" style="14" customWidth="1"/>
    <col min="3586" max="3588" width="10.73046875" style="14" customWidth="1"/>
    <col min="3589" max="3840" width="9.06640625" style="14"/>
    <col min="3841" max="3841" width="18.73046875" style="14" customWidth="1"/>
    <col min="3842" max="3844" width="10.73046875" style="14" customWidth="1"/>
    <col min="3845" max="4096" width="9.06640625" style="14"/>
    <col min="4097" max="4097" width="18.73046875" style="14" customWidth="1"/>
    <col min="4098" max="4100" width="10.73046875" style="14" customWidth="1"/>
    <col min="4101" max="4352" width="9.06640625" style="14"/>
    <col min="4353" max="4353" width="18.73046875" style="14" customWidth="1"/>
    <col min="4354" max="4356" width="10.73046875" style="14" customWidth="1"/>
    <col min="4357" max="4608" width="9.06640625" style="14"/>
    <col min="4609" max="4609" width="18.73046875" style="14" customWidth="1"/>
    <col min="4610" max="4612" width="10.73046875" style="14" customWidth="1"/>
    <col min="4613" max="4864" width="9.06640625" style="14"/>
    <col min="4865" max="4865" width="18.73046875" style="14" customWidth="1"/>
    <col min="4866" max="4868" width="10.73046875" style="14" customWidth="1"/>
    <col min="4869" max="5120" width="9.06640625" style="14"/>
    <col min="5121" max="5121" width="18.73046875" style="14" customWidth="1"/>
    <col min="5122" max="5124" width="10.73046875" style="14" customWidth="1"/>
    <col min="5125" max="5376" width="9.06640625" style="14"/>
    <col min="5377" max="5377" width="18.73046875" style="14" customWidth="1"/>
    <col min="5378" max="5380" width="10.73046875" style="14" customWidth="1"/>
    <col min="5381" max="5632" width="9.06640625" style="14"/>
    <col min="5633" max="5633" width="18.73046875" style="14" customWidth="1"/>
    <col min="5634" max="5636" width="10.73046875" style="14" customWidth="1"/>
    <col min="5637" max="5888" width="9.06640625" style="14"/>
    <col min="5889" max="5889" width="18.73046875" style="14" customWidth="1"/>
    <col min="5890" max="5892" width="10.73046875" style="14" customWidth="1"/>
    <col min="5893" max="6144" width="9.06640625" style="14"/>
    <col min="6145" max="6145" width="18.73046875" style="14" customWidth="1"/>
    <col min="6146" max="6148" width="10.73046875" style="14" customWidth="1"/>
    <col min="6149" max="6400" width="9.06640625" style="14"/>
    <col min="6401" max="6401" width="18.73046875" style="14" customWidth="1"/>
    <col min="6402" max="6404" width="10.73046875" style="14" customWidth="1"/>
    <col min="6405" max="6656" width="9.06640625" style="14"/>
    <col min="6657" max="6657" width="18.73046875" style="14" customWidth="1"/>
    <col min="6658" max="6660" width="10.73046875" style="14" customWidth="1"/>
    <col min="6661" max="6912" width="9.06640625" style="14"/>
    <col min="6913" max="6913" width="18.73046875" style="14" customWidth="1"/>
    <col min="6914" max="6916" width="10.73046875" style="14" customWidth="1"/>
    <col min="6917" max="7168" width="9.06640625" style="14"/>
    <col min="7169" max="7169" width="18.73046875" style="14" customWidth="1"/>
    <col min="7170" max="7172" width="10.73046875" style="14" customWidth="1"/>
    <col min="7173" max="7424" width="9.06640625" style="14"/>
    <col min="7425" max="7425" width="18.73046875" style="14" customWidth="1"/>
    <col min="7426" max="7428" width="10.73046875" style="14" customWidth="1"/>
    <col min="7429" max="7680" width="9.06640625" style="14"/>
    <col min="7681" max="7681" width="18.73046875" style="14" customWidth="1"/>
    <col min="7682" max="7684" width="10.73046875" style="14" customWidth="1"/>
    <col min="7685" max="7936" width="9.06640625" style="14"/>
    <col min="7937" max="7937" width="18.73046875" style="14" customWidth="1"/>
    <col min="7938" max="7940" width="10.73046875" style="14" customWidth="1"/>
    <col min="7941" max="8192" width="9.06640625" style="14"/>
    <col min="8193" max="8193" width="18.73046875" style="14" customWidth="1"/>
    <col min="8194" max="8196" width="10.73046875" style="14" customWidth="1"/>
    <col min="8197" max="8448" width="9.06640625" style="14"/>
    <col min="8449" max="8449" width="18.73046875" style="14" customWidth="1"/>
    <col min="8450" max="8452" width="10.73046875" style="14" customWidth="1"/>
    <col min="8453" max="8704" width="9.06640625" style="14"/>
    <col min="8705" max="8705" width="18.73046875" style="14" customWidth="1"/>
    <col min="8706" max="8708" width="10.73046875" style="14" customWidth="1"/>
    <col min="8709" max="8960" width="9.06640625" style="14"/>
    <col min="8961" max="8961" width="18.73046875" style="14" customWidth="1"/>
    <col min="8962" max="8964" width="10.73046875" style="14" customWidth="1"/>
    <col min="8965" max="9216" width="9.06640625" style="14"/>
    <col min="9217" max="9217" width="18.73046875" style="14" customWidth="1"/>
    <col min="9218" max="9220" width="10.73046875" style="14" customWidth="1"/>
    <col min="9221" max="9472" width="9.06640625" style="14"/>
    <col min="9473" max="9473" width="18.73046875" style="14" customWidth="1"/>
    <col min="9474" max="9476" width="10.73046875" style="14" customWidth="1"/>
    <col min="9477" max="9728" width="9.06640625" style="14"/>
    <col min="9729" max="9729" width="18.73046875" style="14" customWidth="1"/>
    <col min="9730" max="9732" width="10.73046875" style="14" customWidth="1"/>
    <col min="9733" max="9984" width="9.06640625" style="14"/>
    <col min="9985" max="9985" width="18.73046875" style="14" customWidth="1"/>
    <col min="9986" max="9988" width="10.73046875" style="14" customWidth="1"/>
    <col min="9989" max="10240" width="9.06640625" style="14"/>
    <col min="10241" max="10241" width="18.73046875" style="14" customWidth="1"/>
    <col min="10242" max="10244" width="10.73046875" style="14" customWidth="1"/>
    <col min="10245" max="10496" width="9.06640625" style="14"/>
    <col min="10497" max="10497" width="18.73046875" style="14" customWidth="1"/>
    <col min="10498" max="10500" width="10.73046875" style="14" customWidth="1"/>
    <col min="10501" max="10752" width="9.06640625" style="14"/>
    <col min="10753" max="10753" width="18.73046875" style="14" customWidth="1"/>
    <col min="10754" max="10756" width="10.73046875" style="14" customWidth="1"/>
    <col min="10757" max="11008" width="9.06640625" style="14"/>
    <col min="11009" max="11009" width="18.73046875" style="14" customWidth="1"/>
    <col min="11010" max="11012" width="10.73046875" style="14" customWidth="1"/>
    <col min="11013" max="11264" width="9.06640625" style="14"/>
    <col min="11265" max="11265" width="18.73046875" style="14" customWidth="1"/>
    <col min="11266" max="11268" width="10.73046875" style="14" customWidth="1"/>
    <col min="11269" max="11520" width="9.06640625" style="14"/>
    <col min="11521" max="11521" width="18.73046875" style="14" customWidth="1"/>
    <col min="11522" max="11524" width="10.73046875" style="14" customWidth="1"/>
    <col min="11525" max="11776" width="9.06640625" style="14"/>
    <col min="11777" max="11777" width="18.73046875" style="14" customWidth="1"/>
    <col min="11778" max="11780" width="10.73046875" style="14" customWidth="1"/>
    <col min="11781" max="12032" width="9.06640625" style="14"/>
    <col min="12033" max="12033" width="18.73046875" style="14" customWidth="1"/>
    <col min="12034" max="12036" width="10.73046875" style="14" customWidth="1"/>
    <col min="12037" max="12288" width="9.06640625" style="14"/>
    <col min="12289" max="12289" width="18.73046875" style="14" customWidth="1"/>
    <col min="12290" max="12292" width="10.73046875" style="14" customWidth="1"/>
    <col min="12293" max="12544" width="9.06640625" style="14"/>
    <col min="12545" max="12545" width="18.73046875" style="14" customWidth="1"/>
    <col min="12546" max="12548" width="10.73046875" style="14" customWidth="1"/>
    <col min="12549" max="12800" width="9.06640625" style="14"/>
    <col min="12801" max="12801" width="18.73046875" style="14" customWidth="1"/>
    <col min="12802" max="12804" width="10.73046875" style="14" customWidth="1"/>
    <col min="12805" max="13056" width="9.06640625" style="14"/>
    <col min="13057" max="13057" width="18.73046875" style="14" customWidth="1"/>
    <col min="13058" max="13060" width="10.73046875" style="14" customWidth="1"/>
    <col min="13061" max="13312" width="9.06640625" style="14"/>
    <col min="13313" max="13313" width="18.73046875" style="14" customWidth="1"/>
    <col min="13314" max="13316" width="10.73046875" style="14" customWidth="1"/>
    <col min="13317" max="13568" width="9.06640625" style="14"/>
    <col min="13569" max="13569" width="18.73046875" style="14" customWidth="1"/>
    <col min="13570" max="13572" width="10.73046875" style="14" customWidth="1"/>
    <col min="13573" max="13824" width="9.06640625" style="14"/>
    <col min="13825" max="13825" width="18.73046875" style="14" customWidth="1"/>
    <col min="13826" max="13828" width="10.73046875" style="14" customWidth="1"/>
    <col min="13829" max="14080" width="9.06640625" style="14"/>
    <col min="14081" max="14081" width="18.73046875" style="14" customWidth="1"/>
    <col min="14082" max="14084" width="10.73046875" style="14" customWidth="1"/>
    <col min="14085" max="14336" width="9.06640625" style="14"/>
    <col min="14337" max="14337" width="18.73046875" style="14" customWidth="1"/>
    <col min="14338" max="14340" width="10.73046875" style="14" customWidth="1"/>
    <col min="14341" max="14592" width="9.06640625" style="14"/>
    <col min="14593" max="14593" width="18.73046875" style="14" customWidth="1"/>
    <col min="14594" max="14596" width="10.73046875" style="14" customWidth="1"/>
    <col min="14597" max="14848" width="9.06640625" style="14"/>
    <col min="14849" max="14849" width="18.73046875" style="14" customWidth="1"/>
    <col min="14850" max="14852" width="10.73046875" style="14" customWidth="1"/>
    <col min="14853" max="15104" width="9.06640625" style="14"/>
    <col min="15105" max="15105" width="18.73046875" style="14" customWidth="1"/>
    <col min="15106" max="15108" width="10.73046875" style="14" customWidth="1"/>
    <col min="15109" max="15360" width="9.06640625" style="14"/>
    <col min="15361" max="15361" width="18.73046875" style="14" customWidth="1"/>
    <col min="15362" max="15364" width="10.73046875" style="14" customWidth="1"/>
    <col min="15365" max="15616" width="9.06640625" style="14"/>
    <col min="15617" max="15617" width="18.73046875" style="14" customWidth="1"/>
    <col min="15618" max="15620" width="10.73046875" style="14" customWidth="1"/>
    <col min="15621" max="15872" width="9.06640625" style="14"/>
    <col min="15873" max="15873" width="18.73046875" style="14" customWidth="1"/>
    <col min="15874" max="15876" width="10.73046875" style="14" customWidth="1"/>
    <col min="15877" max="16128" width="9.06640625" style="14"/>
    <col min="16129" max="16129" width="18.73046875" style="14" customWidth="1"/>
    <col min="16130" max="16132" width="10.73046875" style="14" customWidth="1"/>
    <col min="16133" max="16384" width="9.06640625" style="14"/>
  </cols>
  <sheetData>
    <row r="1" spans="1:13" x14ac:dyDescent="0.45">
      <c r="A1" s="13" t="s">
        <v>54</v>
      </c>
    </row>
    <row r="3" spans="1:13" x14ac:dyDescent="0.45">
      <c r="A3" s="13" t="s">
        <v>55</v>
      </c>
      <c r="J3" s="13" t="s">
        <v>56</v>
      </c>
    </row>
    <row r="5" spans="1:13" ht="15.75" x14ac:dyDescent="0.45">
      <c r="B5" s="15" t="s">
        <v>117</v>
      </c>
      <c r="G5" s="15" t="s">
        <v>57</v>
      </c>
      <c r="H5" s="15" t="s">
        <v>78</v>
      </c>
      <c r="J5" s="15" t="s">
        <v>57</v>
      </c>
      <c r="K5" s="15" t="s">
        <v>117</v>
      </c>
      <c r="L5" s="15" t="s">
        <v>58</v>
      </c>
      <c r="M5" s="15" t="s">
        <v>59</v>
      </c>
    </row>
    <row r="6" spans="1:13" x14ac:dyDescent="0.45">
      <c r="A6" s="14" t="s">
        <v>60</v>
      </c>
      <c r="B6" s="12">
        <v>48</v>
      </c>
      <c r="G6" s="15"/>
      <c r="H6" s="19"/>
      <c r="J6" s="15"/>
      <c r="K6" s="16"/>
      <c r="L6" s="16"/>
      <c r="M6" s="17"/>
    </row>
    <row r="7" spans="1:13" x14ac:dyDescent="0.45">
      <c r="A7" s="14" t="s">
        <v>62</v>
      </c>
      <c r="B7" s="12">
        <v>331.9</v>
      </c>
      <c r="G7" s="15">
        <v>5</v>
      </c>
      <c r="H7" s="19">
        <v>3.2</v>
      </c>
      <c r="J7" s="15" t="s">
        <v>61</v>
      </c>
      <c r="K7" s="16">
        <f>B11</f>
        <v>379.9</v>
      </c>
      <c r="L7" s="16">
        <f>C11</f>
        <v>9</v>
      </c>
      <c r="M7" s="17">
        <f>ROUND(K7*L7,0)</f>
        <v>3419</v>
      </c>
    </row>
    <row r="8" spans="1:13" x14ac:dyDescent="0.45">
      <c r="B8" s="18">
        <f>SUM(B6:B7)</f>
        <v>379.9</v>
      </c>
      <c r="G8" s="15">
        <v>4</v>
      </c>
      <c r="H8" s="19">
        <v>3.2</v>
      </c>
      <c r="J8" s="15">
        <v>4</v>
      </c>
      <c r="K8" s="16">
        <f>B12</f>
        <v>323.5</v>
      </c>
      <c r="L8" s="16">
        <f>C12</f>
        <v>10</v>
      </c>
      <c r="M8" s="17">
        <f t="shared" ref="M8:M11" si="0">ROUND(K8*L8,0)</f>
        <v>3235</v>
      </c>
    </row>
    <row r="9" spans="1:13" x14ac:dyDescent="0.45">
      <c r="G9" s="15">
        <v>3</v>
      </c>
      <c r="H9" s="19">
        <v>3.2</v>
      </c>
      <c r="J9" s="15">
        <v>3</v>
      </c>
      <c r="K9" s="16">
        <f>K8</f>
        <v>323.5</v>
      </c>
      <c r="L9" s="16">
        <f>L8</f>
        <v>10</v>
      </c>
      <c r="M9" s="17">
        <f t="shared" si="0"/>
        <v>3235</v>
      </c>
    </row>
    <row r="10" spans="1:13" x14ac:dyDescent="0.45">
      <c r="B10" s="15" t="s">
        <v>118</v>
      </c>
      <c r="C10" s="14" t="s">
        <v>63</v>
      </c>
      <c r="D10" s="15" t="s">
        <v>64</v>
      </c>
      <c r="G10" s="15">
        <v>2</v>
      </c>
      <c r="H10" s="19">
        <v>3.2</v>
      </c>
      <c r="J10" s="15">
        <v>2</v>
      </c>
      <c r="K10" s="16">
        <f>K9</f>
        <v>323.5</v>
      </c>
      <c r="L10" s="16">
        <f>L9</f>
        <v>10</v>
      </c>
      <c r="M10" s="17">
        <f t="shared" si="0"/>
        <v>3235</v>
      </c>
    </row>
    <row r="11" spans="1:13" x14ac:dyDescent="0.45">
      <c r="A11" s="14" t="s">
        <v>65</v>
      </c>
      <c r="B11" s="16">
        <f>B6+B7</f>
        <v>379.9</v>
      </c>
      <c r="C11" s="12">
        <v>9</v>
      </c>
      <c r="D11" s="17">
        <f>ROUND(B11*C11,0)</f>
        <v>3419</v>
      </c>
      <c r="E11" s="14" t="s">
        <v>45</v>
      </c>
      <c r="G11" s="15">
        <v>1</v>
      </c>
      <c r="H11" s="19">
        <v>3.6</v>
      </c>
      <c r="J11" s="15">
        <v>1</v>
      </c>
      <c r="K11" s="16">
        <f>B13</f>
        <v>263.2</v>
      </c>
      <c r="L11" s="16">
        <f>L10</f>
        <v>10</v>
      </c>
      <c r="M11" s="17">
        <f t="shared" si="0"/>
        <v>2632</v>
      </c>
    </row>
    <row r="12" spans="1:13" x14ac:dyDescent="0.45">
      <c r="A12" s="14" t="s">
        <v>66</v>
      </c>
      <c r="B12" s="12">
        <v>323.5</v>
      </c>
      <c r="C12" s="12">
        <v>10</v>
      </c>
      <c r="D12" s="17">
        <f>ROUND(B12*C12,0)</f>
        <v>3235</v>
      </c>
      <c r="E12" s="14" t="s">
        <v>45</v>
      </c>
      <c r="G12" s="15" t="s">
        <v>67</v>
      </c>
      <c r="H12" s="31">
        <f>SUM(H6:H11)</f>
        <v>16.400000000000002</v>
      </c>
      <c r="J12" s="15" t="s">
        <v>67</v>
      </c>
      <c r="K12" s="16"/>
      <c r="M12" s="60">
        <f>SUM(M6:M11)</f>
        <v>15756</v>
      </c>
    </row>
    <row r="13" spans="1:13" x14ac:dyDescent="0.45">
      <c r="A13" s="14" t="s">
        <v>68</v>
      </c>
      <c r="B13" s="12">
        <v>263.2</v>
      </c>
      <c r="C13" s="12">
        <v>10</v>
      </c>
      <c r="D13" s="17">
        <f>ROUND(B13*C13,0)</f>
        <v>2632</v>
      </c>
      <c r="E13" s="14" t="s">
        <v>45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workbookViewId="0">
      <selection activeCell="B3" sqref="B3:E3"/>
    </sheetView>
  </sheetViews>
  <sheetFormatPr defaultColWidth="9.1328125" defaultRowHeight="13.5" x14ac:dyDescent="0.45"/>
  <cols>
    <col min="1" max="1" width="23.59765625" style="37" bestFit="1" customWidth="1"/>
    <col min="2" max="16" width="9.1328125" style="33"/>
    <col min="17" max="17" width="6.59765625" style="34" customWidth="1"/>
    <col min="18" max="18" width="6.59765625" style="35" customWidth="1"/>
    <col min="19" max="19" width="6.59765625" style="36" customWidth="1"/>
    <col min="20" max="20" width="6.59765625" style="35" customWidth="1"/>
    <col min="21" max="21" width="6.59765625" style="36" customWidth="1"/>
    <col min="22" max="22" width="6.59765625" style="35" customWidth="1"/>
    <col min="23" max="23" width="6.59765625" style="36" customWidth="1"/>
    <col min="24" max="24" width="6.59765625" style="35" customWidth="1"/>
    <col min="25" max="25" width="6.59765625" style="36" customWidth="1"/>
    <col min="26" max="26" width="6.59765625" style="35" customWidth="1"/>
    <col min="27" max="27" width="6.59765625" style="36" customWidth="1"/>
    <col min="28" max="16384" width="9.1328125" style="33"/>
  </cols>
  <sheetData>
    <row r="1" spans="1:27" ht="15" customHeight="1" x14ac:dyDescent="0.45">
      <c r="A1" s="32" t="s">
        <v>79</v>
      </c>
    </row>
    <row r="2" spans="1:27" ht="15" customHeight="1" x14ac:dyDescent="0.45">
      <c r="Z2" s="35" t="s">
        <v>80</v>
      </c>
    </row>
    <row r="3" spans="1:27" ht="15" customHeight="1" x14ac:dyDescent="0.45">
      <c r="A3" s="38" t="s">
        <v>81</v>
      </c>
      <c r="B3" s="98" t="s">
        <v>82</v>
      </c>
      <c r="C3" s="99"/>
      <c r="D3" s="99"/>
      <c r="E3" s="99"/>
      <c r="I3" s="39" t="s">
        <v>83</v>
      </c>
      <c r="R3" s="36" t="s">
        <v>84</v>
      </c>
      <c r="T3" s="36" t="s">
        <v>73</v>
      </c>
      <c r="V3" s="36" t="s">
        <v>71</v>
      </c>
      <c r="X3" s="36" t="s">
        <v>85</v>
      </c>
      <c r="Z3" s="36" t="s">
        <v>71</v>
      </c>
    </row>
    <row r="4" spans="1:27" ht="15" customHeight="1" x14ac:dyDescent="0.45">
      <c r="A4" s="38"/>
      <c r="B4" s="40"/>
      <c r="C4" s="40"/>
      <c r="D4" s="40"/>
      <c r="E4" s="40"/>
      <c r="I4" s="41" t="s">
        <v>86</v>
      </c>
      <c r="J4" s="37">
        <f>IF(B14="A",1,IF(B14="B",1.4,IF(B14="C",1.7,IF(B14="D",2.4,2))))</f>
        <v>1.7</v>
      </c>
      <c r="K4" s="37">
        <f>IF(B14="A",0,IF(B14="B",0.4,IF(B14="C",0.6,IF(B14="D",1.5,1.1))))</f>
        <v>0.6</v>
      </c>
      <c r="L4" s="37">
        <f>IF(B14="A",1,IF(B14="B",1,IF(B14="C",1,IF(B14="D",0.9,1))))</f>
        <v>1</v>
      </c>
      <c r="M4" s="37">
        <f>IF(B14="A",1,IF(B14="B",1.2,IF(B14="C",1.5,IF(B14="D",1.8,1.6))))</f>
        <v>1.5</v>
      </c>
      <c r="N4" s="37"/>
      <c r="O4" s="37"/>
      <c r="P4" s="37"/>
      <c r="R4" s="36" t="s">
        <v>87</v>
      </c>
      <c r="S4" s="36" t="s">
        <v>88</v>
      </c>
      <c r="T4" s="36" t="s">
        <v>87</v>
      </c>
      <c r="U4" s="36" t="s">
        <v>88</v>
      </c>
      <c r="V4" s="36" t="s">
        <v>87</v>
      </c>
      <c r="W4" s="36" t="s">
        <v>88</v>
      </c>
      <c r="X4" s="36" t="s">
        <v>87</v>
      </c>
      <c r="Y4" s="36" t="s">
        <v>88</v>
      </c>
      <c r="Z4" s="36" t="s">
        <v>87</v>
      </c>
      <c r="AA4" s="36" t="s">
        <v>88</v>
      </c>
    </row>
    <row r="5" spans="1:27" ht="15" customHeight="1" x14ac:dyDescent="0.45">
      <c r="A5" s="37" t="s">
        <v>89</v>
      </c>
      <c r="I5" s="41" t="s">
        <v>90</v>
      </c>
      <c r="J5" s="37">
        <f>IF(B14="A",1,IF(B14="B",1.1,IF(B14="C",1.05,IF(B14="D",1.25,1.15))))</f>
        <v>1.05</v>
      </c>
      <c r="K5" s="37">
        <f>IF(B14="A",0,IF(B14="B",0.2,IF(B14="C",0.33,IF(B14="D",0.5,0.4))))</f>
        <v>0.33</v>
      </c>
      <c r="Q5" s="42">
        <v>0</v>
      </c>
      <c r="R5" s="43">
        <v>0</v>
      </c>
      <c r="S5" s="44">
        <f>C17</f>
        <v>9.1499999999999998E-2</v>
      </c>
      <c r="T5" s="43">
        <v>0</v>
      </c>
      <c r="U5" s="44">
        <f>C18</f>
        <v>0.123</v>
      </c>
      <c r="V5" s="43">
        <v>0</v>
      </c>
      <c r="W5" s="44">
        <f>C19</f>
        <v>0.33462500000000001</v>
      </c>
      <c r="X5" s="43">
        <v>0</v>
      </c>
      <c r="Y5" s="44">
        <f>C20</f>
        <v>0.40771089300000007</v>
      </c>
      <c r="Z5" s="43">
        <f>IF($B$29="",-1,V5)</f>
        <v>0</v>
      </c>
      <c r="AA5" s="43">
        <f>W5</f>
        <v>0.33462500000000001</v>
      </c>
    </row>
    <row r="6" spans="1:27" ht="15" customHeight="1" x14ac:dyDescent="0.45">
      <c r="A6" s="38" t="s">
        <v>91</v>
      </c>
      <c r="B6" s="38" t="s">
        <v>92</v>
      </c>
      <c r="C6" s="38" t="s">
        <v>93</v>
      </c>
      <c r="D6" s="38" t="s">
        <v>94</v>
      </c>
      <c r="E6" s="38" t="s">
        <v>95</v>
      </c>
      <c r="I6" s="45" t="s">
        <v>96</v>
      </c>
      <c r="J6" s="46">
        <f>MAX(SQRT(10/(5+B13*100)),0.55)</f>
        <v>1</v>
      </c>
      <c r="N6" s="37">
        <v>0</v>
      </c>
      <c r="O6" s="46">
        <f>MAX(1,G20)</f>
        <v>1</v>
      </c>
      <c r="Q6" s="44" t="s">
        <v>97</v>
      </c>
      <c r="R6" s="43">
        <f>D17</f>
        <v>0.14916396716852898</v>
      </c>
      <c r="S6" s="44">
        <f>G17</f>
        <v>0.21593999999999999</v>
      </c>
      <c r="T6" s="43">
        <f>D18</f>
        <v>0.15341737754593213</v>
      </c>
      <c r="U6" s="44">
        <f>G18</f>
        <v>0.28486799999999995</v>
      </c>
      <c r="V6" s="43">
        <f>D19</f>
        <v>0.17651869980007165</v>
      </c>
      <c r="W6" s="44">
        <f>G19</f>
        <v>0.80644625000000003</v>
      </c>
      <c r="X6" s="43">
        <f>D20</f>
        <v>0.18399720371942338</v>
      </c>
      <c r="Y6" s="44">
        <f>G20</f>
        <v>0.99685313338500015</v>
      </c>
      <c r="Z6" s="43">
        <f t="shared" ref="Z6:Z52" si="0">IF($B$29="",-1,V6)</f>
        <v>0.17651869980007165</v>
      </c>
      <c r="AA6" s="43">
        <f>MAX(W6/$J$6/$B$29,0.2*$C$19)</f>
        <v>0.13785405982905985</v>
      </c>
    </row>
    <row r="7" spans="1:27" ht="15" customHeight="1" x14ac:dyDescent="0.45">
      <c r="A7" s="38" t="s">
        <v>84</v>
      </c>
      <c r="B7" s="47">
        <v>30</v>
      </c>
      <c r="C7" s="48">
        <v>6.0999999999999999E-2</v>
      </c>
      <c r="D7" s="48">
        <v>2.36</v>
      </c>
      <c r="E7" s="48">
        <v>0.28000000000000003</v>
      </c>
      <c r="I7" s="33" t="str">
        <f>CONCATENATE(B3," - spettri elastici")</f>
        <v>Piazza Cairoli, Messina - spettri elastici</v>
      </c>
      <c r="Q7" s="44" t="s">
        <v>98</v>
      </c>
      <c r="R7" s="43">
        <f>E17</f>
        <v>0.44749190150558693</v>
      </c>
      <c r="S7" s="44">
        <f>S6</f>
        <v>0.21593999999999999</v>
      </c>
      <c r="T7" s="43">
        <f>E18</f>
        <v>0.46025213263779635</v>
      </c>
      <c r="U7" s="44">
        <f>U6</f>
        <v>0.28486799999999995</v>
      </c>
      <c r="V7" s="43">
        <f>E19</f>
        <v>0.52955609940021497</v>
      </c>
      <c r="W7" s="44">
        <f>W6</f>
        <v>0.80644625000000003</v>
      </c>
      <c r="X7" s="43">
        <f>E20</f>
        <v>0.55199161115827011</v>
      </c>
      <c r="Y7" s="44">
        <f>Y6</f>
        <v>0.99685313338500015</v>
      </c>
      <c r="Z7" s="43">
        <f t="shared" si="0"/>
        <v>0.52955609940021497</v>
      </c>
      <c r="AA7" s="43">
        <f t="shared" ref="AA7:AA52" si="1">MAX(W7/$J$6/$B$29,0.2*$C$19)</f>
        <v>0.13785405982905985</v>
      </c>
    </row>
    <row r="8" spans="1:27" ht="15" customHeight="1" x14ac:dyDescent="0.45">
      <c r="A8" s="38" t="s">
        <v>73</v>
      </c>
      <c r="B8" s="47">
        <v>50</v>
      </c>
      <c r="C8" s="48">
        <v>8.2000000000000003E-2</v>
      </c>
      <c r="D8" s="48">
        <v>2.3159999999999998</v>
      </c>
      <c r="E8" s="48">
        <v>0.29199999999999998</v>
      </c>
      <c r="Q8" s="44"/>
      <c r="R8" s="43">
        <f t="shared" ref="R8:R36" si="2">R$7+(R$37-R$7)*(ROW(R8)-ROW(R$7))/30</f>
        <v>0.49404217145540069</v>
      </c>
      <c r="S8" s="44">
        <f>S$7*R$7/R8</f>
        <v>0.19559342662277115</v>
      </c>
      <c r="T8" s="43">
        <f t="shared" ref="T8:T36" si="3">T$7+(T$37-T$7)*(ROW(T8)-ROW(T$7))/30</f>
        <v>0.50917706154986986</v>
      </c>
      <c r="U8" s="44">
        <f>U$7*T$7/T8</f>
        <v>0.25749609403294471</v>
      </c>
      <c r="V8" s="43">
        <f t="shared" ref="V8:V36" si="4">V$7+(V$37-V$7)*(ROW(V8)-ROW(V$7))/30</f>
        <v>0.59857089608687453</v>
      </c>
      <c r="W8" s="44">
        <f>W$7*V$7/V8</f>
        <v>0.71346357351786249</v>
      </c>
      <c r="X8" s="43">
        <f t="shared" ref="X8:X36" si="5">X$7+(X$37-X$7)*(ROW(X8)-ROW(X$7))/30</f>
        <v>0.6321252241196611</v>
      </c>
      <c r="Y8" s="44">
        <f>Y$7*X$7/X8</f>
        <v>0.87048348363518735</v>
      </c>
      <c r="Z8" s="43">
        <f t="shared" si="0"/>
        <v>0.59857089608687453</v>
      </c>
      <c r="AA8" s="43">
        <f t="shared" si="1"/>
        <v>0.12195958521672864</v>
      </c>
    </row>
    <row r="9" spans="1:27" ht="15" customHeight="1" x14ac:dyDescent="0.45">
      <c r="A9" s="38" t="s">
        <v>71</v>
      </c>
      <c r="B9" s="47">
        <v>475</v>
      </c>
      <c r="C9" s="48">
        <v>0.25</v>
      </c>
      <c r="D9" s="48">
        <v>2.41</v>
      </c>
      <c r="E9" s="48">
        <v>0.36</v>
      </c>
      <c r="Q9" s="44"/>
      <c r="R9" s="43">
        <f t="shared" si="2"/>
        <v>0.54059244140521445</v>
      </c>
      <c r="S9" s="44">
        <f t="shared" ref="S9:U37" si="6">S$7*R$7/R9</f>
        <v>0.17875092918416144</v>
      </c>
      <c r="T9" s="43">
        <f t="shared" si="3"/>
        <v>0.55810199046194331</v>
      </c>
      <c r="U9" s="44">
        <f t="shared" si="6"/>
        <v>0.23492319819849156</v>
      </c>
      <c r="V9" s="43">
        <f t="shared" si="4"/>
        <v>0.66758569277353397</v>
      </c>
      <c r="W9" s="44">
        <f t="shared" ref="W9:W37" si="7">W$7*V$7/V9</f>
        <v>0.63970593610489834</v>
      </c>
      <c r="X9" s="43">
        <f t="shared" si="5"/>
        <v>0.71225883708105209</v>
      </c>
      <c r="Y9" s="44">
        <f t="shared" ref="Y9:Y37" si="8">Y$7*X$7/X9</f>
        <v>0.7725485996641126</v>
      </c>
      <c r="Z9" s="43">
        <f t="shared" si="0"/>
        <v>0.66758569277353397</v>
      </c>
      <c r="AA9" s="43">
        <f t="shared" si="1"/>
        <v>0.10935144206921339</v>
      </c>
    </row>
    <row r="10" spans="1:27" ht="15" customHeight="1" x14ac:dyDescent="0.45">
      <c r="A10" s="38" t="s">
        <v>85</v>
      </c>
      <c r="B10" s="47">
        <v>975</v>
      </c>
      <c r="C10" s="48">
        <v>0.33900000000000002</v>
      </c>
      <c r="D10" s="48">
        <v>2.4449999999999998</v>
      </c>
      <c r="E10" s="48">
        <v>0.38300000000000001</v>
      </c>
      <c r="Q10" s="44"/>
      <c r="R10" s="43">
        <f t="shared" si="2"/>
        <v>0.58714271135502827</v>
      </c>
      <c r="S10" s="44">
        <f t="shared" si="6"/>
        <v>0.16457906969177416</v>
      </c>
      <c r="T10" s="43">
        <f t="shared" si="3"/>
        <v>0.60702691937401676</v>
      </c>
      <c r="U10" s="44">
        <f t="shared" si="6"/>
        <v>0.21598894601819177</v>
      </c>
      <c r="V10" s="43">
        <f t="shared" si="4"/>
        <v>0.73660048946019341</v>
      </c>
      <c r="W10" s="44">
        <f t="shared" si="7"/>
        <v>0.5797695448707807</v>
      </c>
      <c r="X10" s="43">
        <f t="shared" si="5"/>
        <v>0.79239245004244319</v>
      </c>
      <c r="Y10" s="44">
        <f t="shared" si="8"/>
        <v>0.69442176935921418</v>
      </c>
      <c r="Z10" s="43">
        <f t="shared" si="0"/>
        <v>0.73660048946019341</v>
      </c>
      <c r="AA10" s="43">
        <f t="shared" si="1"/>
        <v>9.910590510611636E-2</v>
      </c>
    </row>
    <row r="11" spans="1:27" ht="15" customHeight="1" x14ac:dyDescent="0.45">
      <c r="A11" s="38"/>
      <c r="B11" s="40"/>
      <c r="C11" s="40"/>
      <c r="D11" s="40"/>
      <c r="E11" s="40"/>
      <c r="Q11" s="44"/>
      <c r="R11" s="43">
        <f t="shared" si="2"/>
        <v>0.63369298130484197</v>
      </c>
      <c r="S11" s="44">
        <f t="shared" si="6"/>
        <v>0.15248930327765661</v>
      </c>
      <c r="T11" s="43">
        <f t="shared" si="3"/>
        <v>0.65595184828609021</v>
      </c>
      <c r="U11" s="44">
        <f t="shared" si="6"/>
        <v>0.1998791601286567</v>
      </c>
      <c r="V11" s="43">
        <f t="shared" si="4"/>
        <v>0.80561528614685296</v>
      </c>
      <c r="W11" s="44">
        <f t="shared" si="7"/>
        <v>0.53010231790473195</v>
      </c>
      <c r="X11" s="43">
        <f t="shared" si="5"/>
        <v>0.87252606300383417</v>
      </c>
      <c r="Y11" s="44">
        <f t="shared" si="8"/>
        <v>0.63064542197284268</v>
      </c>
      <c r="Z11" s="43">
        <f t="shared" si="0"/>
        <v>0.80561528614685296</v>
      </c>
      <c r="AA11" s="43">
        <f t="shared" si="1"/>
        <v>9.0615780838415719E-2</v>
      </c>
    </row>
    <row r="12" spans="1:27" ht="15" customHeight="1" x14ac:dyDescent="0.45">
      <c r="A12" s="38" t="s">
        <v>99</v>
      </c>
      <c r="B12" s="47" t="s">
        <v>72</v>
      </c>
      <c r="C12" s="40"/>
      <c r="D12" s="40"/>
      <c r="E12" s="40"/>
      <c r="Q12" s="44"/>
      <c r="R12" s="43">
        <f t="shared" si="2"/>
        <v>0.68024325125465579</v>
      </c>
      <c r="S12" s="44">
        <f t="shared" si="6"/>
        <v>0.14205418581204199</v>
      </c>
      <c r="T12" s="43">
        <f t="shared" si="3"/>
        <v>0.70487677719816366</v>
      </c>
      <c r="U12" s="44">
        <f t="shared" si="6"/>
        <v>0.18600570874447206</v>
      </c>
      <c r="V12" s="43">
        <f t="shared" si="4"/>
        <v>0.87463008283351251</v>
      </c>
      <c r="W12" s="44">
        <f t="shared" si="7"/>
        <v>0.48827331566552351</v>
      </c>
      <c r="X12" s="43">
        <f t="shared" si="5"/>
        <v>0.95265967596522527</v>
      </c>
      <c r="Y12" s="44">
        <f t="shared" si="8"/>
        <v>0.57759825577569845</v>
      </c>
      <c r="Z12" s="43">
        <f t="shared" si="0"/>
        <v>0.87463008283351251</v>
      </c>
      <c r="AA12" s="43">
        <f t="shared" si="1"/>
        <v>8.3465524045388637E-2</v>
      </c>
    </row>
    <row r="13" spans="1:27" ht="15" customHeight="1" x14ac:dyDescent="0.45">
      <c r="A13" s="37" t="s">
        <v>100</v>
      </c>
      <c r="B13" s="49">
        <v>0.05</v>
      </c>
      <c r="Q13" s="44"/>
      <c r="R13" s="43">
        <f t="shared" si="2"/>
        <v>0.72679352120446961</v>
      </c>
      <c r="S13" s="44">
        <f t="shared" si="6"/>
        <v>0.13295578233963234</v>
      </c>
      <c r="T13" s="43">
        <f t="shared" si="3"/>
        <v>0.75380170611023711</v>
      </c>
      <c r="U13" s="44">
        <f t="shared" si="6"/>
        <v>0.17393314907288079</v>
      </c>
      <c r="V13" s="43">
        <f t="shared" si="4"/>
        <v>0.94364487952017195</v>
      </c>
      <c r="W13" s="44">
        <f t="shared" si="7"/>
        <v>0.45256275935400925</v>
      </c>
      <c r="X13" s="43">
        <f t="shared" si="5"/>
        <v>1.0327932889266163</v>
      </c>
      <c r="Y13" s="44">
        <f t="shared" si="8"/>
        <v>0.5327828647659365</v>
      </c>
      <c r="Z13" s="43">
        <f t="shared" si="0"/>
        <v>0.94364487952017195</v>
      </c>
      <c r="AA13" s="43">
        <f t="shared" si="1"/>
        <v>7.7361155445129795E-2</v>
      </c>
    </row>
    <row r="14" spans="1:27" ht="15" customHeight="1" x14ac:dyDescent="0.45">
      <c r="A14" s="37" t="s">
        <v>69</v>
      </c>
      <c r="B14" s="50" t="s">
        <v>70</v>
      </c>
      <c r="Q14" s="44"/>
      <c r="R14" s="43">
        <f t="shared" si="2"/>
        <v>0.77334379115428331</v>
      </c>
      <c r="S14" s="44">
        <f t="shared" si="6"/>
        <v>0.12495270837680821</v>
      </c>
      <c r="T14" s="43">
        <f t="shared" si="3"/>
        <v>0.80272663502231056</v>
      </c>
      <c r="U14" s="44">
        <f t="shared" si="6"/>
        <v>0.16333219654112974</v>
      </c>
      <c r="V14" s="43">
        <f t="shared" si="4"/>
        <v>1.0126596762068316</v>
      </c>
      <c r="W14" s="44">
        <f t="shared" si="7"/>
        <v>0.42171969572797097</v>
      </c>
      <c r="X14" s="43">
        <f t="shared" si="5"/>
        <v>1.1129269018880072</v>
      </c>
      <c r="Y14" s="44">
        <f t="shared" si="8"/>
        <v>0.4944211216854274</v>
      </c>
      <c r="Z14" s="43">
        <f t="shared" si="0"/>
        <v>1.0126596762068316</v>
      </c>
      <c r="AA14" s="43">
        <f t="shared" si="1"/>
        <v>7.2088836876576232E-2</v>
      </c>
    </row>
    <row r="15" spans="1:27" ht="15" customHeight="1" x14ac:dyDescent="0.45">
      <c r="Q15" s="44"/>
      <c r="R15" s="43">
        <f t="shared" si="2"/>
        <v>0.81989406110409713</v>
      </c>
      <c r="S15" s="44">
        <f t="shared" si="6"/>
        <v>0.11785839878019036</v>
      </c>
      <c r="T15" s="43">
        <f t="shared" si="3"/>
        <v>0.85165156393438401</v>
      </c>
      <c r="U15" s="44">
        <f t="shared" si="6"/>
        <v>0.1539492323768753</v>
      </c>
      <c r="V15" s="43">
        <f t="shared" si="4"/>
        <v>1.0816744728934911</v>
      </c>
      <c r="W15" s="44">
        <f t="shared" si="7"/>
        <v>0.39481243315610876</v>
      </c>
      <c r="X15" s="43">
        <f t="shared" si="5"/>
        <v>1.1930605148493982</v>
      </c>
      <c r="Y15" s="44">
        <f t="shared" si="8"/>
        <v>0.46121262110062838</v>
      </c>
      <c r="Z15" s="43">
        <f t="shared" si="0"/>
        <v>1.0816744728934911</v>
      </c>
      <c r="AA15" s="43">
        <f t="shared" si="1"/>
        <v>6.7489304813010048E-2</v>
      </c>
    </row>
    <row r="16" spans="1:27" ht="15" customHeight="1" x14ac:dyDescent="0.45">
      <c r="A16" s="37" t="s">
        <v>101</v>
      </c>
      <c r="B16" s="41" t="s">
        <v>102</v>
      </c>
      <c r="C16" s="37" t="s">
        <v>103</v>
      </c>
      <c r="D16" s="37" t="s">
        <v>104</v>
      </c>
      <c r="E16" s="37" t="s">
        <v>105</v>
      </c>
      <c r="F16" s="37" t="s">
        <v>106</v>
      </c>
      <c r="G16" s="37" t="s">
        <v>107</v>
      </c>
      <c r="Q16" s="44"/>
      <c r="R16" s="43">
        <f t="shared" si="2"/>
        <v>0.86644433105391094</v>
      </c>
      <c r="S16" s="44">
        <f t="shared" si="6"/>
        <v>0.11152638172792655</v>
      </c>
      <c r="T16" s="43">
        <f t="shared" si="3"/>
        <v>0.90057649284645747</v>
      </c>
      <c r="U16" s="44">
        <f t="shared" si="6"/>
        <v>0.14558575041844599</v>
      </c>
      <c r="V16" s="43">
        <f t="shared" si="4"/>
        <v>1.1506892695801505</v>
      </c>
      <c r="W16" s="44">
        <f t="shared" si="7"/>
        <v>0.37113279997974652</v>
      </c>
      <c r="X16" s="43">
        <f t="shared" si="5"/>
        <v>1.2731941278107892</v>
      </c>
      <c r="Y16" s="44">
        <f t="shared" si="8"/>
        <v>0.43218434264341038</v>
      </c>
      <c r="Z16" s="43">
        <f t="shared" si="0"/>
        <v>1.1506892695801505</v>
      </c>
      <c r="AA16" s="43">
        <f t="shared" si="1"/>
        <v>6.6924999999999998E-2</v>
      </c>
    </row>
    <row r="17" spans="1:27" ht="15" customHeight="1" x14ac:dyDescent="0.45">
      <c r="A17" s="41" t="s">
        <v>84</v>
      </c>
      <c r="B17" s="51">
        <f>MAX($L$4,MIN($M$4,$J$4-$K$4*D7*C7))*IF($B$12="T1",1,IF($B$12="T4",1.4,1.2))</f>
        <v>1.5</v>
      </c>
      <c r="C17" s="51">
        <f>B17*C7</f>
        <v>9.1499999999999998E-2</v>
      </c>
      <c r="D17" s="51">
        <f>E17/3</f>
        <v>0.14916396716852898</v>
      </c>
      <c r="E17" s="51">
        <f>$J$5*E7^(-$K$5)*E7</f>
        <v>0.44749190150558693</v>
      </c>
      <c r="F17" s="51">
        <f>4*C7+1.6</f>
        <v>1.8440000000000001</v>
      </c>
      <c r="G17" s="51">
        <f>C17*D7*$J$6</f>
        <v>0.21593999999999999</v>
      </c>
      <c r="Q17" s="44"/>
      <c r="R17" s="43">
        <f t="shared" si="2"/>
        <v>0.91299460100372465</v>
      </c>
      <c r="S17" s="44">
        <f t="shared" si="6"/>
        <v>0.10584005765738611</v>
      </c>
      <c r="T17" s="43">
        <f t="shared" si="3"/>
        <v>0.94950142175853092</v>
      </c>
      <c r="U17" s="44">
        <f t="shared" si="6"/>
        <v>0.13808415818634426</v>
      </c>
      <c r="V17" s="43">
        <f t="shared" si="4"/>
        <v>1.2197040662668099</v>
      </c>
      <c r="W17" s="44">
        <f t="shared" si="7"/>
        <v>0.3501329071018377</v>
      </c>
      <c r="X17" s="43">
        <f t="shared" si="5"/>
        <v>1.3533277407721802</v>
      </c>
      <c r="Y17" s="44">
        <f t="shared" si="8"/>
        <v>0.40659372494011875</v>
      </c>
      <c r="Z17" s="43">
        <f t="shared" si="0"/>
        <v>1.2197040662668099</v>
      </c>
      <c r="AA17" s="43">
        <f t="shared" si="1"/>
        <v>6.6924999999999998E-2</v>
      </c>
    </row>
    <row r="18" spans="1:27" ht="15" customHeight="1" x14ac:dyDescent="0.45">
      <c r="A18" s="52" t="s">
        <v>73</v>
      </c>
      <c r="B18" s="51">
        <f>MAX($L$4,MIN($M$4,$J$4-$K$4*D8*C8))*IF($B$12="T1",1,IF($B$12="T4",1.4,1.2))</f>
        <v>1.5</v>
      </c>
      <c r="C18" s="51">
        <f>B18*C8</f>
        <v>0.123</v>
      </c>
      <c r="D18" s="51">
        <f t="shared" ref="D18:D20" si="9">E18/3</f>
        <v>0.15341737754593213</v>
      </c>
      <c r="E18" s="51">
        <f>$J$5*E8^(-$K$5)*E8</f>
        <v>0.46025213263779635</v>
      </c>
      <c r="F18" s="51">
        <f>4*C8+1.6</f>
        <v>1.9280000000000002</v>
      </c>
      <c r="G18" s="51">
        <f>C18*D8*$J$6</f>
        <v>0.28486799999999995</v>
      </c>
      <c r="Q18" s="44"/>
      <c r="R18" s="43">
        <f t="shared" si="2"/>
        <v>0.95954487095353846</v>
      </c>
      <c r="S18" s="44">
        <f t="shared" si="6"/>
        <v>0.10070545332089569</v>
      </c>
      <c r="T18" s="43">
        <f t="shared" si="3"/>
        <v>0.99842635067060437</v>
      </c>
      <c r="U18" s="44">
        <f t="shared" si="6"/>
        <v>0.1313177526136019</v>
      </c>
      <c r="V18" s="43">
        <f t="shared" si="4"/>
        <v>1.2887188629534694</v>
      </c>
      <c r="W18" s="44">
        <f t="shared" si="7"/>
        <v>0.33138222990482452</v>
      </c>
      <c r="X18" s="43">
        <f t="shared" si="5"/>
        <v>1.4334613537335712</v>
      </c>
      <c r="Y18" s="44">
        <f t="shared" si="8"/>
        <v>0.38386424981194761</v>
      </c>
      <c r="Z18" s="43">
        <f t="shared" si="0"/>
        <v>1.2887188629534694</v>
      </c>
      <c r="AA18" s="43">
        <f t="shared" si="1"/>
        <v>6.6924999999999998E-2</v>
      </c>
    </row>
    <row r="19" spans="1:27" ht="15" customHeight="1" x14ac:dyDescent="0.45">
      <c r="A19" s="38" t="s">
        <v>71</v>
      </c>
      <c r="B19" s="51">
        <f>MAX($L$4,MIN($M$4,$J$4-$K$4*D9*C9))*IF($B$12="T1",1,IF($B$12="T4",1.4,1.2))</f>
        <v>1.3385</v>
      </c>
      <c r="C19" s="51">
        <f>B19*C9</f>
        <v>0.33462500000000001</v>
      </c>
      <c r="D19" s="51">
        <f t="shared" si="9"/>
        <v>0.17651869980007165</v>
      </c>
      <c r="E19" s="51">
        <f>$J$5*E9^(-$K$5)*E9</f>
        <v>0.52955609940021497</v>
      </c>
      <c r="F19" s="51">
        <f>4*C9+1.6</f>
        <v>2.6</v>
      </c>
      <c r="G19" s="51">
        <f>C19*D9*$J$6</f>
        <v>0.80644625000000003</v>
      </c>
      <c r="Q19" s="44"/>
      <c r="R19" s="43">
        <f t="shared" si="2"/>
        <v>1.0060951409033523</v>
      </c>
      <c r="S19" s="44">
        <f t="shared" si="6"/>
        <v>9.6045987384804452E-2</v>
      </c>
      <c r="T19" s="43">
        <f t="shared" si="3"/>
        <v>1.0473512795826778</v>
      </c>
      <c r="U19" s="44">
        <f t="shared" si="6"/>
        <v>0.12518350535887598</v>
      </c>
      <c r="V19" s="43">
        <f t="shared" si="4"/>
        <v>1.3577336596401288</v>
      </c>
      <c r="W19" s="44">
        <f t="shared" si="7"/>
        <v>0.31453777955178908</v>
      </c>
      <c r="X19" s="43">
        <f t="shared" si="5"/>
        <v>1.5135949666949622</v>
      </c>
      <c r="Y19" s="44">
        <f t="shared" si="8"/>
        <v>0.36354148850459944</v>
      </c>
      <c r="Z19" s="43">
        <f t="shared" si="0"/>
        <v>1.3577336596401288</v>
      </c>
      <c r="AA19" s="43">
        <f t="shared" si="1"/>
        <v>6.6924999999999998E-2</v>
      </c>
    </row>
    <row r="20" spans="1:27" ht="15" customHeight="1" x14ac:dyDescent="0.45">
      <c r="A20" s="38" t="s">
        <v>85</v>
      </c>
      <c r="B20" s="51">
        <f>MAX($L$4,MIN($M$4,$J$4-$K$4*D10*C10))*IF($B$12="T1",1,IF($B$12="T4",1.4,1.2))</f>
        <v>1.2026870000000001</v>
      </c>
      <c r="C20" s="51">
        <f>B20*C10</f>
        <v>0.40771089300000007</v>
      </c>
      <c r="D20" s="51">
        <f t="shared" si="9"/>
        <v>0.18399720371942338</v>
      </c>
      <c r="E20" s="51">
        <f>$J$5*E10^(-$K$5)*E10</f>
        <v>0.55199161115827011</v>
      </c>
      <c r="F20" s="51">
        <f>4*C10+1.6</f>
        <v>2.9560000000000004</v>
      </c>
      <c r="G20" s="51">
        <f>C20*D10*$J$6</f>
        <v>0.99685313338500015</v>
      </c>
      <c r="Q20" s="44"/>
      <c r="R20" s="43">
        <f t="shared" si="2"/>
        <v>1.052645410853166</v>
      </c>
      <c r="S20" s="44">
        <f t="shared" si="6"/>
        <v>9.1798624888125402E-2</v>
      </c>
      <c r="T20" s="43">
        <f t="shared" si="3"/>
        <v>1.0962762084947513</v>
      </c>
      <c r="U20" s="44">
        <f t="shared" si="6"/>
        <v>0.11959677999423764</v>
      </c>
      <c r="V20" s="43">
        <f t="shared" si="4"/>
        <v>1.4267484563267885</v>
      </c>
      <c r="W20" s="44">
        <f t="shared" si="7"/>
        <v>0.29932293154562584</v>
      </c>
      <c r="X20" s="43">
        <f t="shared" si="5"/>
        <v>1.5937285796563534</v>
      </c>
      <c r="Y20" s="44">
        <f t="shared" si="8"/>
        <v>0.34526240804692376</v>
      </c>
      <c r="Z20" s="43">
        <f t="shared" si="0"/>
        <v>1.4267484563267885</v>
      </c>
      <c r="AA20" s="43">
        <f t="shared" si="1"/>
        <v>6.6924999999999998E-2</v>
      </c>
    </row>
    <row r="21" spans="1:27" ht="15" customHeight="1" x14ac:dyDescent="0.45">
      <c r="Q21" s="44"/>
      <c r="R21" s="43">
        <f t="shared" si="2"/>
        <v>1.0991956808029797</v>
      </c>
      <c r="S21" s="44">
        <f t="shared" si="6"/>
        <v>8.7911008839232044E-2</v>
      </c>
      <c r="T21" s="43">
        <f t="shared" si="3"/>
        <v>1.1452011374068247</v>
      </c>
      <c r="U21" s="44">
        <f t="shared" si="6"/>
        <v>0.11448740333698032</v>
      </c>
      <c r="V21" s="43">
        <f t="shared" si="4"/>
        <v>1.4957632530134481</v>
      </c>
      <c r="W21" s="44">
        <f t="shared" si="7"/>
        <v>0.28551211541368909</v>
      </c>
      <c r="X21" s="43">
        <f t="shared" si="5"/>
        <v>1.6738621926177444</v>
      </c>
      <c r="Y21" s="44">
        <f t="shared" si="8"/>
        <v>0.32873349407863495</v>
      </c>
      <c r="Z21" s="43">
        <f t="shared" si="0"/>
        <v>1.4957632530134481</v>
      </c>
      <c r="AA21" s="43">
        <f t="shared" si="1"/>
        <v>6.6924999999999998E-2</v>
      </c>
    </row>
    <row r="22" spans="1:27" ht="15" customHeight="1" x14ac:dyDescent="0.45">
      <c r="A22" s="53"/>
      <c r="G22" s="37" t="s">
        <v>108</v>
      </c>
      <c r="Q22" s="44"/>
      <c r="R22" s="43">
        <f t="shared" si="2"/>
        <v>1.1457459507527936</v>
      </c>
      <c r="S22" s="44">
        <f t="shared" si="6"/>
        <v>8.433929105106272E-2</v>
      </c>
      <c r="T22" s="43">
        <f t="shared" si="3"/>
        <v>1.1941260663188982</v>
      </c>
      <c r="U22" s="44">
        <f t="shared" si="6"/>
        <v>0.10979670255791049</v>
      </c>
      <c r="V22" s="43">
        <f t="shared" si="4"/>
        <v>1.5647780497001076</v>
      </c>
      <c r="W22" s="44">
        <f t="shared" si="7"/>
        <v>0.2729195559765023</v>
      </c>
      <c r="X22" s="43">
        <f t="shared" si="5"/>
        <v>1.7539958055791354</v>
      </c>
      <c r="Y22" s="44">
        <f t="shared" si="8"/>
        <v>0.31371487060293896</v>
      </c>
      <c r="Z22" s="43">
        <f t="shared" si="0"/>
        <v>1.5647780497001076</v>
      </c>
      <c r="AA22" s="43">
        <f t="shared" si="1"/>
        <v>6.6924999999999998E-2</v>
      </c>
    </row>
    <row r="23" spans="1:27" ht="15" customHeight="1" x14ac:dyDescent="0.45">
      <c r="A23" s="37" t="s">
        <v>109</v>
      </c>
      <c r="B23" s="47">
        <v>0.61099999999999999</v>
      </c>
      <c r="F23" s="41" t="s">
        <v>84</v>
      </c>
      <c r="G23" s="51">
        <f>IF($B$23="","",IF($B$23&lt;D17,G17*($B$23/D17+(1-$B$23/D17)/D7/$J$6),IF($B$23&lt;=E17,G17,IF($B$23&lt;F17,G17*E17/$B$23,G17*E17*F17/$B$23^2))))</f>
        <v>0.15815286613930676</v>
      </c>
      <c r="I23" s="37">
        <f>IF(B23="",-1,B23)</f>
        <v>0.61099999999999999</v>
      </c>
      <c r="J23" s="46">
        <f>IF($B$23="","",G23)</f>
        <v>0.15815286613930676</v>
      </c>
      <c r="L23" s="37">
        <f>I23</f>
        <v>0.61099999999999999</v>
      </c>
      <c r="M23" s="46">
        <f>IF($B$23="","",G25)</f>
        <v>0.69895013179366716</v>
      </c>
      <c r="Q23" s="44"/>
      <c r="R23" s="43">
        <f t="shared" si="2"/>
        <v>1.1922962207026073</v>
      </c>
      <c r="S23" s="44">
        <f t="shared" si="6"/>
        <v>8.104647111451263E-2</v>
      </c>
      <c r="T23" s="43">
        <f t="shared" si="3"/>
        <v>1.2430509952309716</v>
      </c>
      <c r="U23" s="44">
        <f t="shared" si="6"/>
        <v>0.10547524198385921</v>
      </c>
      <c r="V23" s="43">
        <f t="shared" si="4"/>
        <v>1.633792846386767</v>
      </c>
      <c r="W23" s="44">
        <f t="shared" si="7"/>
        <v>0.2613908681693623</v>
      </c>
      <c r="X23" s="43">
        <f t="shared" si="5"/>
        <v>1.8341294185405264</v>
      </c>
      <c r="Y23" s="44">
        <f t="shared" si="8"/>
        <v>0.30000858261311286</v>
      </c>
      <c r="Z23" s="43">
        <f t="shared" si="0"/>
        <v>1.633792846386767</v>
      </c>
      <c r="AA23" s="43">
        <f t="shared" si="1"/>
        <v>6.6924999999999998E-2</v>
      </c>
    </row>
    <row r="24" spans="1:27" ht="15" customHeight="1" x14ac:dyDescent="0.45">
      <c r="A24" s="53"/>
      <c r="F24" s="52" t="s">
        <v>73</v>
      </c>
      <c r="G24" s="51">
        <f t="shared" ref="G24:G26" si="10">IF($B$23="","",IF($B$23&lt;D18,G18*($B$23/D18+(1-$B$23/D18)/D8/$J$6),IF($B$23&lt;=E18,G18,IF($B$23&lt;F18,G18*E18/$B$23,G18*E18*F18/$B$23^2))))</f>
        <v>0.21458445911663462</v>
      </c>
      <c r="I24" s="37">
        <f>I23</f>
        <v>0.61099999999999999</v>
      </c>
      <c r="J24" s="46">
        <f t="shared" ref="J24:J26" si="11">IF($B$23="","",G24)</f>
        <v>0.21458445911663462</v>
      </c>
      <c r="L24" s="37">
        <f>IF($B$29="",-1,I24)</f>
        <v>0.61099999999999999</v>
      </c>
      <c r="M24" s="46">
        <f>IF($B$23="","",G29)</f>
        <v>0.11947865500746449</v>
      </c>
      <c r="Q24" s="44"/>
      <c r="R24" s="43">
        <f t="shared" si="2"/>
        <v>1.238846490652421</v>
      </c>
      <c r="S24" s="44">
        <f t="shared" si="6"/>
        <v>7.8001109855206405E-2</v>
      </c>
      <c r="T24" s="43">
        <f t="shared" si="3"/>
        <v>1.2919759241430451</v>
      </c>
      <c r="U24" s="44">
        <f t="shared" si="6"/>
        <v>0.10148107412081109</v>
      </c>
      <c r="V24" s="43">
        <f t="shared" si="4"/>
        <v>1.7028076430734265</v>
      </c>
      <c r="W24" s="44">
        <f t="shared" si="7"/>
        <v>0.250796695835312</v>
      </c>
      <c r="X24" s="43">
        <f t="shared" si="5"/>
        <v>1.9142630315019173</v>
      </c>
      <c r="Y24" s="44">
        <f t="shared" si="8"/>
        <v>0.28744982174870204</v>
      </c>
      <c r="Z24" s="43">
        <f t="shared" si="0"/>
        <v>1.7028076430734265</v>
      </c>
      <c r="AA24" s="43">
        <f t="shared" si="1"/>
        <v>6.6924999999999998E-2</v>
      </c>
    </row>
    <row r="25" spans="1:27" ht="15" customHeight="1" x14ac:dyDescent="0.45">
      <c r="A25" s="53"/>
      <c r="C25" s="54" t="s">
        <v>110</v>
      </c>
      <c r="D25" s="55">
        <f>IF(B23="","",G25/G23)</f>
        <v>4.4194591527541878</v>
      </c>
      <c r="F25" s="38" t="s">
        <v>71</v>
      </c>
      <c r="G25" s="51">
        <f t="shared" si="10"/>
        <v>0.69895013179366716</v>
      </c>
      <c r="I25" s="37">
        <f t="shared" ref="I25:I26" si="12">I24</f>
        <v>0.61099999999999999</v>
      </c>
      <c r="J25" s="46">
        <f t="shared" si="11"/>
        <v>0.69895013179366716</v>
      </c>
      <c r="L25" s="37">
        <f t="shared" ref="L25:L26" si="13">I25</f>
        <v>0.61099999999999999</v>
      </c>
      <c r="M25" s="46">
        <f>IF($B$23="","",G23)</f>
        <v>0.15815286613930676</v>
      </c>
      <c r="Q25" s="44"/>
      <c r="R25" s="43">
        <f t="shared" si="2"/>
        <v>1.285396760602235</v>
      </c>
      <c r="S25" s="44">
        <f t="shared" si="6"/>
        <v>7.5176322341004367E-2</v>
      </c>
      <c r="T25" s="43">
        <f t="shared" si="3"/>
        <v>1.3409008530551187</v>
      </c>
      <c r="U25" s="44">
        <f t="shared" si="6"/>
        <v>9.7778373562474222E-2</v>
      </c>
      <c r="V25" s="43">
        <f t="shared" si="4"/>
        <v>1.7718224397600859</v>
      </c>
      <c r="W25" s="44">
        <f t="shared" si="7"/>
        <v>0.24102783718201276</v>
      </c>
      <c r="X25" s="43">
        <f t="shared" si="5"/>
        <v>1.9943966444633086</v>
      </c>
      <c r="Y25" s="44">
        <f t="shared" si="8"/>
        <v>0.27590026723767852</v>
      </c>
      <c r="Z25" s="43">
        <f t="shared" si="0"/>
        <v>1.7718224397600859</v>
      </c>
      <c r="AA25" s="43">
        <f t="shared" si="1"/>
        <v>6.6924999999999998E-2</v>
      </c>
    </row>
    <row r="26" spans="1:27" ht="15" customHeight="1" x14ac:dyDescent="0.45">
      <c r="A26" s="53"/>
      <c r="C26" s="54" t="s">
        <v>111</v>
      </c>
      <c r="D26" s="55">
        <f>IF(B23="","",G25/G24*1.5)</f>
        <v>4.8858393660308961</v>
      </c>
      <c r="F26" s="38" t="s">
        <v>85</v>
      </c>
      <c r="G26" s="51">
        <f t="shared" si="10"/>
        <v>0.90058030635901176</v>
      </c>
      <c r="I26" s="37">
        <f t="shared" si="12"/>
        <v>0.61099999999999999</v>
      </c>
      <c r="J26" s="46">
        <f t="shared" si="11"/>
        <v>0.90058030635901176</v>
      </c>
      <c r="L26" s="37">
        <f t="shared" si="13"/>
        <v>0.61099999999999999</v>
      </c>
      <c r="M26" s="46">
        <f>IF($B$23="","",G24)</f>
        <v>0.21458445911663462</v>
      </c>
      <c r="Q26" s="44"/>
      <c r="R26" s="43">
        <f t="shared" si="2"/>
        <v>1.3319470305520484</v>
      </c>
      <c r="S26" s="44">
        <f t="shared" si="6"/>
        <v>7.2548982050033836E-2</v>
      </c>
      <c r="T26" s="43">
        <f t="shared" si="3"/>
        <v>1.389825781967192</v>
      </c>
      <c r="U26" s="44">
        <f t="shared" si="6"/>
        <v>9.4336359435415004E-2</v>
      </c>
      <c r="V26" s="43">
        <f t="shared" si="4"/>
        <v>1.8408372364467454</v>
      </c>
      <c r="W26" s="44">
        <f t="shared" si="7"/>
        <v>0.23199146674708482</v>
      </c>
      <c r="X26" s="43">
        <f t="shared" si="5"/>
        <v>2.0745302574246995</v>
      </c>
      <c r="Y26" s="44">
        <f t="shared" si="8"/>
        <v>0.26524297016927412</v>
      </c>
      <c r="Z26" s="43">
        <f t="shared" si="0"/>
        <v>1.8408372364467454</v>
      </c>
      <c r="AA26" s="43">
        <f t="shared" si="1"/>
        <v>6.6924999999999998E-2</v>
      </c>
    </row>
    <row r="27" spans="1:27" ht="15" customHeight="1" x14ac:dyDescent="0.45">
      <c r="A27" s="53"/>
      <c r="Q27" s="44"/>
      <c r="R27" s="43">
        <f t="shared" si="2"/>
        <v>1.3784973005018624</v>
      </c>
      <c r="S27" s="44">
        <f t="shared" si="6"/>
        <v>7.0099086284707512E-2</v>
      </c>
      <c r="T27" s="43">
        <f t="shared" si="3"/>
        <v>1.4387507108792654</v>
      </c>
      <c r="U27" s="44">
        <f t="shared" si="6"/>
        <v>9.1128437698659887E-2</v>
      </c>
      <c r="V27" s="43">
        <f t="shared" si="4"/>
        <v>1.9098520331334048</v>
      </c>
      <c r="W27" s="44">
        <f t="shared" si="7"/>
        <v>0.223608176506363</v>
      </c>
      <c r="X27" s="43">
        <f t="shared" si="5"/>
        <v>2.1546638703860905</v>
      </c>
      <c r="Y27" s="44">
        <f t="shared" si="8"/>
        <v>0.25537837931387275</v>
      </c>
      <c r="Z27" s="43">
        <f t="shared" si="0"/>
        <v>1.9098520331334048</v>
      </c>
      <c r="AA27" s="43">
        <f t="shared" si="1"/>
        <v>6.6924999999999998E-2</v>
      </c>
    </row>
    <row r="28" spans="1:27" ht="15" customHeight="1" x14ac:dyDescent="0.45">
      <c r="A28" s="33"/>
      <c r="F28" s="37" t="s">
        <v>112</v>
      </c>
      <c r="G28" s="37" t="s">
        <v>113</v>
      </c>
      <c r="Q28" s="44"/>
      <c r="R28" s="43">
        <f t="shared" si="2"/>
        <v>1.4250475704516761</v>
      </c>
      <c r="S28" s="44">
        <f t="shared" si="6"/>
        <v>6.7809245961163681E-2</v>
      </c>
      <c r="T28" s="43">
        <f t="shared" si="3"/>
        <v>1.4876756397913391</v>
      </c>
      <c r="U28" s="44">
        <f t="shared" si="6"/>
        <v>8.8131512685556482E-2</v>
      </c>
      <c r="V28" s="43">
        <f t="shared" si="4"/>
        <v>1.9788668298200647</v>
      </c>
      <c r="W28" s="44">
        <f t="shared" si="7"/>
        <v>0.21580963614654272</v>
      </c>
      <c r="X28" s="43">
        <f t="shared" si="5"/>
        <v>2.2347974833474815</v>
      </c>
      <c r="Y28" s="44">
        <f t="shared" si="8"/>
        <v>0.24622122196107682</v>
      </c>
      <c r="Z28" s="43">
        <f t="shared" si="0"/>
        <v>1.9788668298200647</v>
      </c>
      <c r="AA28" s="43">
        <f t="shared" si="1"/>
        <v>6.6924999999999998E-2</v>
      </c>
    </row>
    <row r="29" spans="1:27" ht="15" customHeight="1" x14ac:dyDescent="0.45">
      <c r="A29" s="56" t="s">
        <v>114</v>
      </c>
      <c r="B29" s="47">
        <v>5.85</v>
      </c>
      <c r="F29" s="51">
        <f>IF(OR($B$23="",$B$29=""),"",G19/B29/J6)</f>
        <v>0.13785405982905985</v>
      </c>
      <c r="G29" s="51">
        <f>IF(OR($B$23="",$B$29=""),"",IF($B$23&lt;D19,G19/B29/J6*($B$23/D19+(1-$B$23/D19)/D9),IF($B$23&lt;=E19,G19/B29/J6,IF($B$23&lt;F19,G19/B29/J6*E19/$B$23,G19/B29/J6*E19*F19/$B$23^2))))</f>
        <v>0.11947865500746449</v>
      </c>
      <c r="Q29" s="44"/>
      <c r="R29" s="43">
        <f t="shared" si="2"/>
        <v>1.47159784040149</v>
      </c>
      <c r="S29" s="44">
        <f t="shared" si="6"/>
        <v>6.5664272234018023E-2</v>
      </c>
      <c r="T29" s="43">
        <f t="shared" si="3"/>
        <v>1.5366005687034123</v>
      </c>
      <c r="U29" s="44">
        <f t="shared" si="6"/>
        <v>8.5325430167512983E-2</v>
      </c>
      <c r="V29" s="43">
        <f t="shared" si="4"/>
        <v>2.0478816265067241</v>
      </c>
      <c r="W29" s="44">
        <f t="shared" si="7"/>
        <v>0.20853672643882593</v>
      </c>
      <c r="X29" s="43">
        <f t="shared" si="5"/>
        <v>2.3149310963088725</v>
      </c>
      <c r="Y29" s="44">
        <f t="shared" si="8"/>
        <v>0.23769803259489231</v>
      </c>
      <c r="Z29" s="43">
        <f t="shared" si="0"/>
        <v>2.0478816265067241</v>
      </c>
      <c r="AA29" s="43">
        <f t="shared" si="1"/>
        <v>6.6924999999999998E-2</v>
      </c>
    </row>
    <row r="30" spans="1:27" ht="15" customHeight="1" x14ac:dyDescent="0.45">
      <c r="A30" s="33"/>
      <c r="D30" s="57"/>
      <c r="Q30" s="44"/>
      <c r="R30" s="43">
        <f t="shared" si="2"/>
        <v>1.5181481103513037</v>
      </c>
      <c r="S30" s="44">
        <f t="shared" si="6"/>
        <v>6.3650839171914303E-2</v>
      </c>
      <c r="T30" s="43">
        <f t="shared" si="3"/>
        <v>1.585525497615486</v>
      </c>
      <c r="U30" s="44">
        <f t="shared" si="6"/>
        <v>8.2692523530807444E-2</v>
      </c>
      <c r="V30" s="43">
        <f t="shared" si="4"/>
        <v>2.1168964231933836</v>
      </c>
      <c r="W30" s="44">
        <f t="shared" si="7"/>
        <v>0.20173803774570306</v>
      </c>
      <c r="X30" s="43">
        <f t="shared" si="5"/>
        <v>2.3950647092702635</v>
      </c>
      <c r="Y30" s="44">
        <f t="shared" si="8"/>
        <v>0.22974517767956656</v>
      </c>
      <c r="Z30" s="43">
        <f t="shared" si="0"/>
        <v>2.1168964231933836</v>
      </c>
      <c r="AA30" s="43">
        <f t="shared" si="1"/>
        <v>6.6924999999999998E-2</v>
      </c>
    </row>
    <row r="31" spans="1:27" ht="15" customHeight="1" x14ac:dyDescent="0.45">
      <c r="Q31" s="44"/>
      <c r="R31" s="43">
        <f t="shared" si="2"/>
        <v>1.5646983803011174</v>
      </c>
      <c r="S31" s="44">
        <f t="shared" si="6"/>
        <v>6.1757206646127071E-2</v>
      </c>
      <c r="T31" s="43">
        <f t="shared" si="3"/>
        <v>1.6344504265275595</v>
      </c>
      <c r="U31" s="44">
        <f t="shared" si="6"/>
        <v>8.0217241460674563E-2</v>
      </c>
      <c r="V31" s="43">
        <f t="shared" si="4"/>
        <v>2.185911219880043</v>
      </c>
      <c r="W31" s="44">
        <f t="shared" si="7"/>
        <v>0.19536865296357575</v>
      </c>
      <c r="X31" s="43">
        <f t="shared" si="5"/>
        <v>2.4751983222316545</v>
      </c>
      <c r="Y31" s="44">
        <f t="shared" si="8"/>
        <v>0.22230726412631177</v>
      </c>
      <c r="Z31" s="43">
        <f t="shared" si="0"/>
        <v>2.185911219880043</v>
      </c>
      <c r="AA31" s="43">
        <f t="shared" si="1"/>
        <v>6.6924999999999998E-2</v>
      </c>
    </row>
    <row r="32" spans="1:27" ht="15" customHeight="1" x14ac:dyDescent="0.45">
      <c r="Q32" s="44"/>
      <c r="R32" s="43">
        <f t="shared" si="2"/>
        <v>1.6112486502509313</v>
      </c>
      <c r="S32" s="44">
        <f t="shared" si="6"/>
        <v>5.9972991254991795E-2</v>
      </c>
      <c r="T32" s="43">
        <f t="shared" si="3"/>
        <v>1.6833753554396327</v>
      </c>
      <c r="U32" s="44">
        <f t="shared" si="6"/>
        <v>7.7885840550411645E-2</v>
      </c>
      <c r="V32" s="43">
        <f t="shared" si="4"/>
        <v>2.2549260165667024</v>
      </c>
      <c r="W32" s="44">
        <f t="shared" si="7"/>
        <v>0.18938915396264749</v>
      </c>
      <c r="X32" s="43">
        <f t="shared" si="5"/>
        <v>2.5553319351930455</v>
      </c>
      <c r="Y32" s="44">
        <f t="shared" si="8"/>
        <v>0.21533584721696306</v>
      </c>
      <c r="Z32" s="43">
        <f t="shared" si="0"/>
        <v>2.2549260165667024</v>
      </c>
      <c r="AA32" s="43">
        <f t="shared" si="1"/>
        <v>6.6924999999999998E-2</v>
      </c>
    </row>
    <row r="33" spans="17:27" ht="15" customHeight="1" x14ac:dyDescent="0.45">
      <c r="Q33" s="44"/>
      <c r="R33" s="43">
        <f t="shared" si="2"/>
        <v>1.657798920200745</v>
      </c>
      <c r="S33" s="44">
        <f t="shared" si="6"/>
        <v>5.8288975842386972E-2</v>
      </c>
      <c r="T33" s="43">
        <f t="shared" si="3"/>
        <v>1.7323002843517064</v>
      </c>
      <c r="U33" s="44">
        <f t="shared" si="6"/>
        <v>7.5686129999875049E-2</v>
      </c>
      <c r="V33" s="43">
        <f t="shared" si="4"/>
        <v>2.3239408132533619</v>
      </c>
      <c r="W33" s="44">
        <f t="shared" si="7"/>
        <v>0.18376480506320519</v>
      </c>
      <c r="X33" s="43">
        <f t="shared" si="5"/>
        <v>2.6354655481544365</v>
      </c>
      <c r="Y33" s="44">
        <f t="shared" si="8"/>
        <v>0.20878837424783958</v>
      </c>
      <c r="Z33" s="43">
        <f t="shared" si="0"/>
        <v>2.3239408132533619</v>
      </c>
      <c r="AA33" s="43">
        <f t="shared" si="1"/>
        <v>6.6924999999999998E-2</v>
      </c>
    </row>
    <row r="34" spans="17:27" ht="15" customHeight="1" x14ac:dyDescent="0.45">
      <c r="Q34" s="44"/>
      <c r="R34" s="43">
        <f t="shared" si="2"/>
        <v>1.7043491901505587</v>
      </c>
      <c r="S34" s="44">
        <f t="shared" si="6"/>
        <v>5.6696950231531026E-2</v>
      </c>
      <c r="T34" s="43">
        <f t="shared" si="3"/>
        <v>1.7812252132637798</v>
      </c>
      <c r="U34" s="44">
        <f t="shared" si="6"/>
        <v>7.3607258388188809E-2</v>
      </c>
      <c r="V34" s="43">
        <f t="shared" si="4"/>
        <v>2.3929556099400213</v>
      </c>
      <c r="W34" s="44">
        <f t="shared" si="7"/>
        <v>0.17846487780717116</v>
      </c>
      <c r="X34" s="43">
        <f t="shared" si="5"/>
        <v>2.7155991611158274</v>
      </c>
      <c r="Y34" s="44">
        <f t="shared" si="8"/>
        <v>0.20262731520334504</v>
      </c>
      <c r="Z34" s="43">
        <f t="shared" si="0"/>
        <v>2.3929556099400213</v>
      </c>
      <c r="AA34" s="43">
        <f t="shared" si="1"/>
        <v>6.6924999999999998E-2</v>
      </c>
    </row>
    <row r="35" spans="17:27" ht="15" customHeight="1" x14ac:dyDescent="0.45">
      <c r="Q35" s="44"/>
      <c r="R35" s="43">
        <f t="shared" si="2"/>
        <v>1.7508994601003725</v>
      </c>
      <c r="S35" s="44">
        <f t="shared" si="6"/>
        <v>5.5189577364754529E-2</v>
      </c>
      <c r="T35" s="43">
        <f t="shared" si="3"/>
        <v>1.8301501421758533</v>
      </c>
      <c r="U35" s="44">
        <f t="shared" si="6"/>
        <v>7.1639534647352288E-2</v>
      </c>
      <c r="V35" s="43">
        <f t="shared" si="4"/>
        <v>2.4619704066266812</v>
      </c>
      <c r="W35" s="44">
        <f t="shared" si="7"/>
        <v>0.17346208929906415</v>
      </c>
      <c r="X35" s="43">
        <f t="shared" si="5"/>
        <v>2.7957327740772184</v>
      </c>
      <c r="Y35" s="44">
        <f t="shared" si="8"/>
        <v>0.19681944293369652</v>
      </c>
      <c r="Z35" s="43">
        <f t="shared" si="0"/>
        <v>2.4619704066266812</v>
      </c>
      <c r="AA35" s="43">
        <f t="shared" si="1"/>
        <v>6.6924999999999998E-2</v>
      </c>
    </row>
    <row r="36" spans="17:27" ht="15" customHeight="1" x14ac:dyDescent="0.45">
      <c r="Q36" s="44"/>
      <c r="R36" s="43">
        <f t="shared" si="2"/>
        <v>1.7974497300501864</v>
      </c>
      <c r="S36" s="44">
        <f t="shared" si="6"/>
        <v>5.3760280243508339E-2</v>
      </c>
      <c r="T36" s="43">
        <f t="shared" si="3"/>
        <v>1.8790750710879267</v>
      </c>
      <c r="U36" s="44">
        <f t="shared" si="6"/>
        <v>6.9774277003395321E-2</v>
      </c>
      <c r="V36" s="43">
        <f t="shared" si="4"/>
        <v>2.5309852033133406</v>
      </c>
      <c r="W36" s="44">
        <f t="shared" si="7"/>
        <v>0.16873213243872923</v>
      </c>
      <c r="X36" s="43">
        <f t="shared" si="5"/>
        <v>2.8758663870386094</v>
      </c>
      <c r="Y36" s="44">
        <f t="shared" si="8"/>
        <v>0.19133523367612865</v>
      </c>
      <c r="Z36" s="43">
        <f t="shared" si="0"/>
        <v>2.5309852033133406</v>
      </c>
      <c r="AA36" s="43">
        <f t="shared" si="1"/>
        <v>6.6924999999999998E-2</v>
      </c>
    </row>
    <row r="37" spans="17:27" ht="15" customHeight="1" x14ac:dyDescent="0.45">
      <c r="Q37" s="44" t="s">
        <v>115</v>
      </c>
      <c r="R37" s="43">
        <f>MIN(3,F17)</f>
        <v>1.8440000000000001</v>
      </c>
      <c r="S37" s="44">
        <f t="shared" si="6"/>
        <v>5.2403145993013246E-2</v>
      </c>
      <c r="T37" s="43">
        <f>MIN(3,F18)</f>
        <v>1.9280000000000002</v>
      </c>
      <c r="U37" s="44">
        <f t="shared" si="6"/>
        <v>6.800368491714924E-2</v>
      </c>
      <c r="V37" s="43">
        <f>MIN(3,F19)</f>
        <v>2.6</v>
      </c>
      <c r="W37" s="44">
        <f t="shared" si="7"/>
        <v>0.16425328097151176</v>
      </c>
      <c r="X37" s="43">
        <f>MIN(3,F20)</f>
        <v>2.9560000000000004</v>
      </c>
      <c r="Y37" s="44">
        <f t="shared" si="8"/>
        <v>0.18614836508300273</v>
      </c>
      <c r="Z37" s="43">
        <f t="shared" si="0"/>
        <v>2.6</v>
      </c>
      <c r="AA37" s="43">
        <f t="shared" si="1"/>
        <v>6.6924999999999998E-2</v>
      </c>
    </row>
    <row r="38" spans="17:27" ht="15" customHeight="1" x14ac:dyDescent="0.45">
      <c r="Q38" s="44"/>
      <c r="R38" s="43">
        <f t="shared" ref="R38:R51" si="14">R$37+(R$52-R$37)*(ROW(R38)-ROW(R$37))/15</f>
        <v>1.9210666666666667</v>
      </c>
      <c r="S38" s="44">
        <f>S$7*R$7*R$37/R38^2</f>
        <v>4.8283008272591237E-2</v>
      </c>
      <c r="T38" s="43">
        <f t="shared" ref="T38:T51" si="15">T$37+(T$52-T$37)*(ROW(T38)-ROW(T$37))/15</f>
        <v>1.9994666666666667</v>
      </c>
      <c r="U38" s="44">
        <f>U$7*T$7*T$37/T38^2</f>
        <v>6.322927015988207E-2</v>
      </c>
      <c r="V38" s="43">
        <f t="shared" ref="V38:V51" si="16">V$37+(V$52-V$37)*(ROW(V38)-ROW(V$37))/15</f>
        <v>2.6266666666666669</v>
      </c>
      <c r="W38" s="44">
        <f>W$7*V$7*V$37/V38^2</f>
        <v>0.16093511837310248</v>
      </c>
      <c r="X38" s="43">
        <f t="shared" ref="X38:X51" si="17">X$37+(X$52-X$37)*(ROW(X38)-ROW(X$37))/15</f>
        <v>2.9589333333333339</v>
      </c>
      <c r="Y38" s="44">
        <f>Y$7*X$7*X$37/X38^2</f>
        <v>0.18577947231845296</v>
      </c>
      <c r="Z38" s="43">
        <f t="shared" si="0"/>
        <v>2.6266666666666669</v>
      </c>
      <c r="AA38" s="43">
        <f t="shared" si="1"/>
        <v>6.6924999999999998E-2</v>
      </c>
    </row>
    <row r="39" spans="17:27" ht="15" customHeight="1" x14ac:dyDescent="0.45">
      <c r="Q39" s="44"/>
      <c r="R39" s="43">
        <f t="shared" si="14"/>
        <v>1.9981333333333333</v>
      </c>
      <c r="S39" s="44">
        <f t="shared" ref="S39:U52" si="18">S$7*R$7*R$37/R39^2</f>
        <v>4.4630347061514961E-2</v>
      </c>
      <c r="T39" s="43">
        <f t="shared" si="15"/>
        <v>2.0709333333333335</v>
      </c>
      <c r="U39" s="44">
        <f t="shared" si="18"/>
        <v>5.8940561469759234E-2</v>
      </c>
      <c r="V39" s="43">
        <f t="shared" si="16"/>
        <v>2.6533333333333333</v>
      </c>
      <c r="W39" s="44">
        <f t="shared" ref="W39:W52" si="19">W$7*V$7*V$37/V39^2</f>
        <v>0.15771649728395079</v>
      </c>
      <c r="X39" s="43">
        <f t="shared" si="17"/>
        <v>2.9618666666666669</v>
      </c>
      <c r="Y39" s="44">
        <f t="shared" ref="Y39:Y52" si="20">Y$7*X$7*X$37/X39^2</f>
        <v>0.18541167502812134</v>
      </c>
      <c r="Z39" s="43">
        <f t="shared" si="0"/>
        <v>2.6533333333333333</v>
      </c>
      <c r="AA39" s="43">
        <f t="shared" si="1"/>
        <v>6.6924999999999998E-2</v>
      </c>
    </row>
    <row r="40" spans="17:27" ht="15" customHeight="1" x14ac:dyDescent="0.45">
      <c r="Q40" s="44"/>
      <c r="R40" s="43">
        <f t="shared" si="14"/>
        <v>2.0752000000000002</v>
      </c>
      <c r="S40" s="44">
        <f t="shared" si="18"/>
        <v>4.1377026389041026E-2</v>
      </c>
      <c r="T40" s="43">
        <f t="shared" si="15"/>
        <v>2.1424000000000003</v>
      </c>
      <c r="U40" s="44">
        <f t="shared" si="18"/>
        <v>5.5073843516710227E-2</v>
      </c>
      <c r="V40" s="43">
        <f t="shared" si="16"/>
        <v>2.68</v>
      </c>
      <c r="W40" s="44">
        <f t="shared" si="19"/>
        <v>0.15459347563034911</v>
      </c>
      <c r="X40" s="43">
        <f t="shared" si="17"/>
        <v>2.9648000000000003</v>
      </c>
      <c r="Y40" s="44">
        <f t="shared" si="20"/>
        <v>0.18504496887876312</v>
      </c>
      <c r="Z40" s="43">
        <f t="shared" si="0"/>
        <v>2.68</v>
      </c>
      <c r="AA40" s="43">
        <f t="shared" si="1"/>
        <v>6.6924999999999998E-2</v>
      </c>
    </row>
    <row r="41" spans="17:27" ht="15" customHeight="1" x14ac:dyDescent="0.45">
      <c r="Q41" s="44"/>
      <c r="R41" s="43">
        <f t="shared" si="14"/>
        <v>2.1522666666666668</v>
      </c>
      <c r="S41" s="44">
        <f t="shared" si="18"/>
        <v>3.8466886377449251E-2</v>
      </c>
      <c r="T41" s="43">
        <f t="shared" si="15"/>
        <v>2.2138666666666666</v>
      </c>
      <c r="U41" s="44">
        <f t="shared" si="18"/>
        <v>5.1575516154264263E-2</v>
      </c>
      <c r="V41" s="43">
        <f t="shared" si="16"/>
        <v>2.7066666666666666</v>
      </c>
      <c r="W41" s="44">
        <f t="shared" si="19"/>
        <v>0.15156230456797631</v>
      </c>
      <c r="X41" s="43">
        <f t="shared" si="17"/>
        <v>2.9677333333333338</v>
      </c>
      <c r="Y41" s="44">
        <f t="shared" si="20"/>
        <v>0.18467934955853829</v>
      </c>
      <c r="Z41" s="43">
        <f t="shared" si="0"/>
        <v>2.7066666666666666</v>
      </c>
      <c r="AA41" s="43">
        <f t="shared" si="1"/>
        <v>6.6924999999999998E-2</v>
      </c>
    </row>
    <row r="42" spans="17:27" ht="15" customHeight="1" x14ac:dyDescent="0.45">
      <c r="Q42" s="44"/>
      <c r="R42" s="43">
        <f t="shared" si="14"/>
        <v>2.2293333333333334</v>
      </c>
      <c r="S42" s="44">
        <f t="shared" si="18"/>
        <v>3.5853303247632883E-2</v>
      </c>
      <c r="T42" s="43">
        <f t="shared" si="15"/>
        <v>2.2853333333333334</v>
      </c>
      <c r="U42" s="44">
        <f t="shared" si="18"/>
        <v>4.8400226854494334E-2</v>
      </c>
      <c r="V42" s="43">
        <f t="shared" si="16"/>
        <v>2.7333333333333334</v>
      </c>
      <c r="W42" s="44">
        <f t="shared" si="19"/>
        <v>0.14861941722645414</v>
      </c>
      <c r="X42" s="43">
        <f t="shared" si="17"/>
        <v>2.9706666666666668</v>
      </c>
      <c r="Y42" s="44">
        <f t="shared" si="20"/>
        <v>0.18431481277688466</v>
      </c>
      <c r="Z42" s="43">
        <f t="shared" si="0"/>
        <v>2.7333333333333334</v>
      </c>
      <c r="AA42" s="43">
        <f t="shared" si="1"/>
        <v>6.6924999999999998E-2</v>
      </c>
    </row>
    <row r="43" spans="17:27" ht="15" customHeight="1" x14ac:dyDescent="0.45">
      <c r="Q43" s="44"/>
      <c r="R43" s="43">
        <f t="shared" si="14"/>
        <v>2.3064</v>
      </c>
      <c r="S43" s="44">
        <f t="shared" si="18"/>
        <v>3.3497310202478613E-2</v>
      </c>
      <c r="T43" s="43">
        <f t="shared" si="15"/>
        <v>2.3568000000000002</v>
      </c>
      <c r="U43" s="44">
        <f t="shared" si="18"/>
        <v>4.5509393381304129E-2</v>
      </c>
      <c r="V43" s="43">
        <f t="shared" si="16"/>
        <v>2.7600000000000002</v>
      </c>
      <c r="W43" s="44">
        <f t="shared" si="19"/>
        <v>0.14576141821143396</v>
      </c>
      <c r="X43" s="43">
        <f t="shared" si="17"/>
        <v>2.9736000000000002</v>
      </c>
      <c r="Y43" s="44">
        <f t="shared" si="20"/>
        <v>0.18395135426439158</v>
      </c>
      <c r="Z43" s="43">
        <f t="shared" si="0"/>
        <v>2.7600000000000002</v>
      </c>
      <c r="AA43" s="43">
        <f t="shared" si="1"/>
        <v>6.6924999999999998E-2</v>
      </c>
    </row>
    <row r="44" spans="17:27" ht="15" customHeight="1" x14ac:dyDescent="0.45">
      <c r="Q44" s="44"/>
      <c r="R44" s="43">
        <f t="shared" si="14"/>
        <v>2.3834666666666666</v>
      </c>
      <c r="S44" s="44">
        <f t="shared" si="18"/>
        <v>3.1366136538316935E-2</v>
      </c>
      <c r="T44" s="43">
        <f t="shared" si="15"/>
        <v>2.4282666666666666</v>
      </c>
      <c r="U44" s="44">
        <f t="shared" si="18"/>
        <v>4.2870026218110008E-2</v>
      </c>
      <c r="V44" s="43">
        <f t="shared" si="16"/>
        <v>2.7866666666666666</v>
      </c>
      <c r="W44" s="44">
        <f t="shared" si="19"/>
        <v>0.14298507380650022</v>
      </c>
      <c r="X44" s="43">
        <f t="shared" si="17"/>
        <v>2.9765333333333337</v>
      </c>
      <c r="Y44" s="44">
        <f t="shared" si="20"/>
        <v>0.18358896977267558</v>
      </c>
      <c r="Z44" s="43">
        <f t="shared" si="0"/>
        <v>2.7866666666666666</v>
      </c>
      <c r="AA44" s="43">
        <f t="shared" si="1"/>
        <v>6.6924999999999998E-2</v>
      </c>
    </row>
    <row r="45" spans="17:27" ht="15" customHeight="1" x14ac:dyDescent="0.45">
      <c r="Q45" s="44"/>
      <c r="R45" s="43">
        <f t="shared" si="14"/>
        <v>2.4605333333333332</v>
      </c>
      <c r="S45" s="44">
        <f t="shared" si="18"/>
        <v>2.9432061889601749E-2</v>
      </c>
      <c r="T45" s="43">
        <f t="shared" si="15"/>
        <v>2.4997333333333334</v>
      </c>
      <c r="U45" s="44">
        <f t="shared" si="18"/>
        <v>4.0453783202553356E-2</v>
      </c>
      <c r="V45" s="43">
        <f t="shared" si="16"/>
        <v>2.8133333333333335</v>
      </c>
      <c r="W45" s="44">
        <f t="shared" si="19"/>
        <v>0.14028730282207799</v>
      </c>
      <c r="X45" s="43">
        <f t="shared" si="17"/>
        <v>2.9794666666666667</v>
      </c>
      <c r="Y45" s="44">
        <f t="shared" si="20"/>
        <v>0.18322765507425573</v>
      </c>
      <c r="Z45" s="43">
        <f t="shared" si="0"/>
        <v>2.8133333333333335</v>
      </c>
      <c r="AA45" s="43">
        <f t="shared" si="1"/>
        <v>6.6924999999999998E-2</v>
      </c>
    </row>
    <row r="46" spans="17:27" ht="15" customHeight="1" x14ac:dyDescent="0.45">
      <c r="Q46" s="44"/>
      <c r="R46" s="43">
        <f t="shared" si="14"/>
        <v>2.5376000000000003</v>
      </c>
      <c r="S46" s="44">
        <f t="shared" si="18"/>
        <v>2.7671510245258518E-2</v>
      </c>
      <c r="T46" s="43">
        <f t="shared" si="15"/>
        <v>2.5712000000000002</v>
      </c>
      <c r="U46" s="44">
        <f t="shared" si="18"/>
        <v>3.8236205474657441E-2</v>
      </c>
      <c r="V46" s="43">
        <f t="shared" si="16"/>
        <v>2.84</v>
      </c>
      <c r="W46" s="44">
        <f t="shared" si="19"/>
        <v>0.13766516804297504</v>
      </c>
      <c r="X46" s="43">
        <f t="shared" si="17"/>
        <v>2.9824000000000002</v>
      </c>
      <c r="Y46" s="44">
        <f t="shared" si="20"/>
        <v>0.18286740596243051</v>
      </c>
      <c r="Z46" s="43">
        <f t="shared" si="0"/>
        <v>2.84</v>
      </c>
      <c r="AA46" s="43">
        <f t="shared" si="1"/>
        <v>6.6924999999999998E-2</v>
      </c>
    </row>
    <row r="47" spans="17:27" ht="15" customHeight="1" x14ac:dyDescent="0.45">
      <c r="Q47" s="44"/>
      <c r="R47" s="43">
        <f t="shared" si="14"/>
        <v>2.6146666666666665</v>
      </c>
      <c r="S47" s="44">
        <f t="shared" si="18"/>
        <v>2.6064328060158962E-2</v>
      </c>
      <c r="T47" s="43">
        <f t="shared" si="15"/>
        <v>2.6426666666666669</v>
      </c>
      <c r="U47" s="44">
        <f t="shared" si="18"/>
        <v>3.619609605832564E-2</v>
      </c>
      <c r="V47" s="43">
        <f t="shared" si="16"/>
        <v>2.8666666666666667</v>
      </c>
      <c r="W47" s="44">
        <f t="shared" si="19"/>
        <v>0.13511586823021601</v>
      </c>
      <c r="X47" s="43">
        <f t="shared" si="17"/>
        <v>2.9853333333333336</v>
      </c>
      <c r="Y47" s="44">
        <f t="shared" si="20"/>
        <v>0.18250821825115551</v>
      </c>
      <c r="Z47" s="43">
        <f t="shared" si="0"/>
        <v>2.8666666666666667</v>
      </c>
      <c r="AA47" s="43">
        <f t="shared" si="1"/>
        <v>6.6924999999999998E-2</v>
      </c>
    </row>
    <row r="48" spans="17:27" ht="15" customHeight="1" x14ac:dyDescent="0.45">
      <c r="Q48" s="44"/>
      <c r="R48" s="43">
        <f t="shared" si="14"/>
        <v>2.6917333333333335</v>
      </c>
      <c r="S48" s="44">
        <f t="shared" si="18"/>
        <v>2.4593204918503173E-2</v>
      </c>
      <c r="T48" s="43">
        <f t="shared" si="15"/>
        <v>2.7141333333333333</v>
      </c>
      <c r="U48" s="44">
        <f t="shared" si="18"/>
        <v>3.4315011437652192E-2</v>
      </c>
      <c r="V48" s="43">
        <f t="shared" si="16"/>
        <v>2.8933333333333335</v>
      </c>
      <c r="W48" s="44">
        <f t="shared" si="19"/>
        <v>0.1326367306364912</v>
      </c>
      <c r="X48" s="43">
        <f t="shared" si="17"/>
        <v>2.9882666666666666</v>
      </c>
      <c r="Y48" s="44">
        <f t="shared" si="20"/>
        <v>0.18215008777492162</v>
      </c>
      <c r="Z48" s="43">
        <f t="shared" si="0"/>
        <v>2.8933333333333335</v>
      </c>
      <c r="AA48" s="43">
        <f t="shared" si="1"/>
        <v>6.6924999999999998E-2</v>
      </c>
    </row>
    <row r="49" spans="17:27" ht="15" customHeight="1" x14ac:dyDescent="0.45">
      <c r="Q49" s="44"/>
      <c r="R49" s="43">
        <f t="shared" si="14"/>
        <v>2.7688000000000001</v>
      </c>
      <c r="S49" s="44">
        <f t="shared" si="18"/>
        <v>2.324320546247147E-2</v>
      </c>
      <c r="T49" s="43">
        <f t="shared" si="15"/>
        <v>2.7856000000000001</v>
      </c>
      <c r="U49" s="44">
        <f t="shared" si="18"/>
        <v>3.2576843242336194E-2</v>
      </c>
      <c r="V49" s="43">
        <f t="shared" si="16"/>
        <v>2.92</v>
      </c>
      <c r="W49" s="44">
        <f t="shared" si="19"/>
        <v>0.13022520399786777</v>
      </c>
      <c r="X49" s="43">
        <f t="shared" si="17"/>
        <v>2.9912000000000001</v>
      </c>
      <c r="Y49" s="44">
        <f t="shared" si="20"/>
        <v>0.18179301038863427</v>
      </c>
      <c r="Z49" s="43">
        <f t="shared" si="0"/>
        <v>2.92</v>
      </c>
      <c r="AA49" s="43">
        <f t="shared" si="1"/>
        <v>6.6924999999999998E-2</v>
      </c>
    </row>
    <row r="50" spans="17:27" ht="15" customHeight="1" x14ac:dyDescent="0.45">
      <c r="Q50" s="44"/>
      <c r="R50" s="43">
        <f t="shared" si="14"/>
        <v>2.8458666666666668</v>
      </c>
      <c r="S50" s="44">
        <f t="shared" si="18"/>
        <v>2.2001388817770445E-2</v>
      </c>
      <c r="T50" s="43">
        <f t="shared" si="15"/>
        <v>2.8570666666666669</v>
      </c>
      <c r="U50" s="44">
        <f t="shared" si="18"/>
        <v>3.0967472242094153E-2</v>
      </c>
      <c r="V50" s="43">
        <f t="shared" si="16"/>
        <v>2.9466666666666668</v>
      </c>
      <c r="W50" s="44">
        <f t="shared" si="19"/>
        <v>0.12787885196743995</v>
      </c>
      <c r="X50" s="43">
        <f t="shared" si="17"/>
        <v>2.9941333333333335</v>
      </c>
      <c r="Y50" s="44">
        <f t="shared" si="20"/>
        <v>0.18143698196749364</v>
      </c>
      <c r="Z50" s="43">
        <f t="shared" si="0"/>
        <v>2.9466666666666668</v>
      </c>
      <c r="AA50" s="43">
        <f t="shared" si="1"/>
        <v>6.6924999999999998E-2</v>
      </c>
    </row>
    <row r="51" spans="17:27" ht="15" customHeight="1" x14ac:dyDescent="0.45">
      <c r="Q51" s="44"/>
      <c r="R51" s="43">
        <f t="shared" si="14"/>
        <v>2.9229333333333329</v>
      </c>
      <c r="S51" s="44">
        <f t="shared" si="18"/>
        <v>2.0856497310876746E-2</v>
      </c>
      <c r="T51" s="43">
        <f t="shared" si="15"/>
        <v>2.9285333333333332</v>
      </c>
      <c r="U51" s="44">
        <f t="shared" si="18"/>
        <v>2.94744807102078E-2</v>
      </c>
      <c r="V51" s="43">
        <f t="shared" si="16"/>
        <v>2.9733333333333332</v>
      </c>
      <c r="W51" s="44">
        <f t="shared" si="19"/>
        <v>0.12559534695935443</v>
      </c>
      <c r="X51" s="43">
        <f t="shared" si="17"/>
        <v>2.9970666666666665</v>
      </c>
      <c r="Y51" s="44">
        <f t="shared" si="20"/>
        <v>0.18108199840687544</v>
      </c>
      <c r="Z51" s="43">
        <f t="shared" si="0"/>
        <v>2.9733333333333332</v>
      </c>
      <c r="AA51" s="43">
        <f t="shared" si="1"/>
        <v>6.6924999999999998E-2</v>
      </c>
    </row>
    <row r="52" spans="17:27" ht="15" customHeight="1" x14ac:dyDescent="0.45">
      <c r="Q52" s="58">
        <v>3</v>
      </c>
      <c r="R52" s="43">
        <f>$Q$52</f>
        <v>3</v>
      </c>
      <c r="S52" s="44">
        <f t="shared" si="18"/>
        <v>1.9798700425922081E-2</v>
      </c>
      <c r="T52" s="43">
        <f>$Q$52</f>
        <v>3</v>
      </c>
      <c r="U52" s="44">
        <f t="shared" si="18"/>
        <v>2.8086912168340947E-2</v>
      </c>
      <c r="V52" s="43">
        <f>$Q$52</f>
        <v>3</v>
      </c>
      <c r="W52" s="44">
        <f t="shared" si="19"/>
        <v>0.12337246437415773</v>
      </c>
      <c r="X52" s="43">
        <f>$Q$52</f>
        <v>3</v>
      </c>
      <c r="Y52" s="44">
        <f t="shared" si="20"/>
        <v>0.18072805562221256</v>
      </c>
      <c r="Z52" s="43">
        <f t="shared" si="0"/>
        <v>3</v>
      </c>
      <c r="AA52" s="43">
        <f t="shared" si="1"/>
        <v>6.6924999999999998E-2</v>
      </c>
    </row>
    <row r="53" spans="17:27" x14ac:dyDescent="0.45">
      <c r="Q53" s="59"/>
      <c r="R53" s="43"/>
      <c r="S53" s="44"/>
      <c r="T53" s="43"/>
      <c r="U53" s="44"/>
      <c r="V53" s="43"/>
      <c r="W53" s="44"/>
      <c r="X53" s="43"/>
      <c r="Y53" s="44"/>
      <c r="Z53" s="43"/>
      <c r="AA53" s="44"/>
    </row>
  </sheetData>
  <sheetProtection sheet="1" objects="1" scenarios="1" selectLockedCells="1"/>
  <protectedRanges>
    <protectedRange sqref="B12:B13" name="Intervallo5_1"/>
  </protectedRanges>
  <mergeCells count="1">
    <mergeCell ref="B3:E3"/>
  </mergeCells>
  <dataValidations disablePrompts="1" count="2">
    <dataValidation type="list" allowBlank="1" showInputMessage="1" showErrorMessage="1" sqref="B14">
      <formula1>"A,B,C,D,E"</formula1>
    </dataValidation>
    <dataValidation type="list" allowBlank="1" showInputMessage="1" showErrorMessage="1" sqref="B12">
      <formula1>"T1,T2,T3,T4"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4" workbookViewId="0">
      <selection activeCell="I5" sqref="I5"/>
    </sheetView>
  </sheetViews>
  <sheetFormatPr defaultRowHeight="14.25" x14ac:dyDescent="0.45"/>
  <cols>
    <col min="1" max="16384" width="9.06640625" style="20"/>
  </cols>
  <sheetData>
    <row r="1" spans="1:12" x14ac:dyDescent="0.45">
      <c r="A1" s="62" t="s">
        <v>116</v>
      </c>
    </row>
    <row r="3" spans="1:12" x14ac:dyDescent="0.45">
      <c r="A3" s="62" t="s">
        <v>141</v>
      </c>
      <c r="G3" s="8" t="s">
        <v>125</v>
      </c>
    </row>
    <row r="5" spans="1:12" x14ac:dyDescent="0.45">
      <c r="A5" s="15" t="s">
        <v>57</v>
      </c>
      <c r="B5" s="21" t="s">
        <v>132</v>
      </c>
      <c r="C5" s="15" t="s">
        <v>59</v>
      </c>
      <c r="G5" s="63" t="s">
        <v>120</v>
      </c>
      <c r="I5" s="64" t="s">
        <v>121</v>
      </c>
      <c r="K5" s="21" t="s">
        <v>126</v>
      </c>
      <c r="L5" s="21">
        <f>IF(I5="A",4.5,3)</f>
        <v>4.5</v>
      </c>
    </row>
    <row r="6" spans="1:12" x14ac:dyDescent="0.45">
      <c r="A6" s="15"/>
      <c r="B6" s="21"/>
      <c r="G6" s="63" t="s">
        <v>122</v>
      </c>
      <c r="I6" s="64" t="s">
        <v>123</v>
      </c>
      <c r="K6" s="65" t="s">
        <v>129</v>
      </c>
      <c r="L6" s="21">
        <f>IF(I6="si",1.3,1.15)</f>
        <v>1.3</v>
      </c>
    </row>
    <row r="7" spans="1:12" x14ac:dyDescent="0.45">
      <c r="A7" s="15" t="s">
        <v>61</v>
      </c>
      <c r="B7" s="22">
        <f>B8+Masse!H7</f>
        <v>16.399999999999999</v>
      </c>
      <c r="C7" s="26">
        <f>Masse!M7</f>
        <v>3419</v>
      </c>
      <c r="G7" s="63" t="s">
        <v>124</v>
      </c>
      <c r="I7" s="64" t="s">
        <v>123</v>
      </c>
      <c r="K7" s="65" t="s">
        <v>130</v>
      </c>
      <c r="L7" s="21">
        <f>IF(I7="si",1,0.8)</f>
        <v>1</v>
      </c>
    </row>
    <row r="8" spans="1:12" x14ac:dyDescent="0.45">
      <c r="A8" s="15">
        <v>4</v>
      </c>
      <c r="B8" s="22">
        <f>B9+Masse!H8</f>
        <v>13.2</v>
      </c>
      <c r="C8" s="26">
        <f>Masse!M8</f>
        <v>3235</v>
      </c>
    </row>
    <row r="9" spans="1:12" x14ac:dyDescent="0.45">
      <c r="A9" s="15">
        <v>3</v>
      </c>
      <c r="B9" s="22">
        <f>B10+Masse!H9</f>
        <v>10</v>
      </c>
      <c r="C9" s="26">
        <f>Masse!M9</f>
        <v>3235</v>
      </c>
      <c r="G9" s="63" t="s">
        <v>127</v>
      </c>
      <c r="I9" s="66">
        <f>L5*L6*L7</f>
        <v>5.8500000000000005</v>
      </c>
    </row>
    <row r="10" spans="1:12" x14ac:dyDescent="0.45">
      <c r="A10" s="15">
        <v>2</v>
      </c>
      <c r="B10" s="22">
        <f>B11+Masse!H10</f>
        <v>6.8000000000000007</v>
      </c>
      <c r="C10" s="26">
        <f>Masse!M10</f>
        <v>3235</v>
      </c>
    </row>
    <row r="11" spans="1:12" x14ac:dyDescent="0.45">
      <c r="A11" s="15">
        <v>1</v>
      </c>
      <c r="B11" s="22">
        <f>Masse!H11</f>
        <v>3.6</v>
      </c>
      <c r="C11" s="26">
        <f>Masse!M11</f>
        <v>2632</v>
      </c>
      <c r="G11" s="63" t="s">
        <v>128</v>
      </c>
      <c r="H11" s="21" t="s">
        <v>131</v>
      </c>
      <c r="I11" s="64">
        <v>5.85</v>
      </c>
      <c r="J11" s="69" t="str">
        <f>IF(I11&lt;&gt;'Spettri di risposta'!B29,"inserire il valore nel foglio Spettri di risposta","")</f>
        <v/>
      </c>
    </row>
    <row r="12" spans="1:12" x14ac:dyDescent="0.45">
      <c r="A12" s="15" t="s">
        <v>67</v>
      </c>
      <c r="B12" s="21"/>
      <c r="C12" s="61">
        <f>SUM(C6:C11)</f>
        <v>15756</v>
      </c>
    </row>
    <row r="13" spans="1:12" x14ac:dyDescent="0.45">
      <c r="B13" s="21"/>
    </row>
    <row r="15" spans="1:12" x14ac:dyDescent="0.45">
      <c r="A15" s="8" t="s">
        <v>133</v>
      </c>
      <c r="C15" s="20" t="s">
        <v>119</v>
      </c>
    </row>
    <row r="17" spans="1:13" x14ac:dyDescent="0.45">
      <c r="A17" s="15" t="s">
        <v>134</v>
      </c>
      <c r="B17" s="19">
        <f>MAX(B6:B11)</f>
        <v>16.399999999999999</v>
      </c>
      <c r="C17" s="14" t="s">
        <v>74</v>
      </c>
    </row>
    <row r="18" spans="1:13" x14ac:dyDescent="0.45">
      <c r="A18" s="15" t="s">
        <v>75</v>
      </c>
      <c r="B18" s="15">
        <v>7.4999999999999997E-2</v>
      </c>
      <c r="C18" s="14"/>
    </row>
    <row r="19" spans="1:13" x14ac:dyDescent="0.45">
      <c r="A19" s="15" t="s">
        <v>72</v>
      </c>
      <c r="B19" s="67">
        <f>ROUND(B18*B17^0.75,3)</f>
        <v>0.61099999999999999</v>
      </c>
      <c r="C19" s="14" t="s">
        <v>76</v>
      </c>
      <c r="D19" s="69" t="str">
        <f>IF(B19&lt;&gt;'Spettri di risposta'!B23,"inserire il valore nel foglio Spettri di risposta","")</f>
        <v/>
      </c>
    </row>
    <row r="22" spans="1:13" x14ac:dyDescent="0.45">
      <c r="A22" s="68" t="s">
        <v>135</v>
      </c>
      <c r="G22" s="70" t="s">
        <v>142</v>
      </c>
    </row>
    <row r="24" spans="1:13" ht="15" x14ac:dyDescent="0.45">
      <c r="A24" s="20" t="s">
        <v>136</v>
      </c>
      <c r="B24" s="37" t="s">
        <v>137</v>
      </c>
      <c r="C24" s="66">
        <f>ROUND('Spettri di risposta'!G29,3)</f>
        <v>0.11899999999999999</v>
      </c>
      <c r="D24" s="20" t="s">
        <v>138</v>
      </c>
      <c r="G24" s="2" t="s">
        <v>57</v>
      </c>
      <c r="H24" s="2" t="s">
        <v>143</v>
      </c>
      <c r="I24" s="2" t="s">
        <v>132</v>
      </c>
      <c r="J24" s="2" t="s">
        <v>144</v>
      </c>
      <c r="K24" s="2" t="s">
        <v>145</v>
      </c>
      <c r="L24" s="2" t="s">
        <v>146</v>
      </c>
      <c r="M24"/>
    </row>
    <row r="25" spans="1:13" ht="15" x14ac:dyDescent="0.45">
      <c r="A25" s="20" t="s">
        <v>139</v>
      </c>
      <c r="B25" s="37" t="s">
        <v>140</v>
      </c>
      <c r="C25" s="66">
        <f>ROUND('Spettri di risposta'!G24,3)</f>
        <v>0.215</v>
      </c>
      <c r="D25" s="20" t="s">
        <v>138</v>
      </c>
      <c r="G25" s="2" t="s">
        <v>61</v>
      </c>
      <c r="H25" s="71">
        <f>C7</f>
        <v>3419</v>
      </c>
      <c r="I25" s="72">
        <f>B7</f>
        <v>16.399999999999999</v>
      </c>
      <c r="J25" s="73">
        <f>ROUND(H25*I25,0)</f>
        <v>56072</v>
      </c>
      <c r="K25" s="76">
        <f>J25/$J$30*$H$32</f>
        <v>549.59829638185204</v>
      </c>
      <c r="L25" s="74">
        <f>K25</f>
        <v>549.59829638185204</v>
      </c>
      <c r="M25" t="s">
        <v>45</v>
      </c>
    </row>
    <row r="26" spans="1:13" x14ac:dyDescent="0.45">
      <c r="G26" s="2">
        <v>4</v>
      </c>
      <c r="H26" s="71">
        <f t="shared" ref="H26:H29" si="0">C8</f>
        <v>3235</v>
      </c>
      <c r="I26" s="72">
        <f t="shared" ref="I26:I29" si="1">B8</f>
        <v>13.2</v>
      </c>
      <c r="J26" s="73">
        <f>ROUND(H26*I26,0)</f>
        <v>42702</v>
      </c>
      <c r="K26" s="76">
        <f t="shared" ref="K26:K29" si="2">J26/$J$30*$H$32</f>
        <v>418.5501935386261</v>
      </c>
      <c r="L26" s="74">
        <f>K26+L25</f>
        <v>968.14848992047814</v>
      </c>
      <c r="M26" t="s">
        <v>45</v>
      </c>
    </row>
    <row r="27" spans="1:13" x14ac:dyDescent="0.45">
      <c r="A27" s="20" t="s">
        <v>148</v>
      </c>
      <c r="C27" s="78">
        <f>C25/C24</f>
        <v>1.8067226890756303</v>
      </c>
      <c r="G27" s="2">
        <v>3</v>
      </c>
      <c r="H27" s="71">
        <f t="shared" si="0"/>
        <v>3235</v>
      </c>
      <c r="I27" s="72">
        <f t="shared" si="1"/>
        <v>10</v>
      </c>
      <c r="J27" s="73">
        <f>ROUND(H27*I27,0)</f>
        <v>32350</v>
      </c>
      <c r="K27" s="76">
        <f t="shared" si="2"/>
        <v>317.08347995350471</v>
      </c>
      <c r="L27" s="74">
        <f>K27+L26</f>
        <v>1285.231969873983</v>
      </c>
      <c r="M27" t="s">
        <v>45</v>
      </c>
    </row>
    <row r="28" spans="1:13" x14ac:dyDescent="0.45">
      <c r="G28" s="2">
        <v>2</v>
      </c>
      <c r="H28" s="71">
        <f t="shared" si="0"/>
        <v>3235</v>
      </c>
      <c r="I28" s="72">
        <f t="shared" si="1"/>
        <v>6.8000000000000007</v>
      </c>
      <c r="J28" s="73">
        <f>ROUND(H28*I28,0)</f>
        <v>21998</v>
      </c>
      <c r="K28" s="76">
        <f t="shared" si="2"/>
        <v>215.6167663683832</v>
      </c>
      <c r="L28" s="74">
        <f>K28+L27</f>
        <v>1500.8487362423662</v>
      </c>
      <c r="M28" t="s">
        <v>45</v>
      </c>
    </row>
    <row r="29" spans="1:13" x14ac:dyDescent="0.45">
      <c r="G29" s="2">
        <v>1</v>
      </c>
      <c r="H29" s="71">
        <f t="shared" si="0"/>
        <v>2632</v>
      </c>
      <c r="I29" s="72">
        <f t="shared" si="1"/>
        <v>3.6</v>
      </c>
      <c r="J29" s="75">
        <f>ROUND(H29*I29,0)</f>
        <v>9475</v>
      </c>
      <c r="K29" s="76">
        <f t="shared" si="2"/>
        <v>92.870663757633906</v>
      </c>
      <c r="L29" s="74">
        <f>K29+L28</f>
        <v>1593.7194</v>
      </c>
      <c r="M29" t="s">
        <v>45</v>
      </c>
    </row>
    <row r="30" spans="1:13" x14ac:dyDescent="0.45">
      <c r="G30" s="2" t="s">
        <v>67</v>
      </c>
      <c r="H30" s="73">
        <f>SUM(H25:H29)</f>
        <v>15756</v>
      </c>
      <c r="I30" s="2"/>
      <c r="J30" s="73">
        <f>SUM(J25:J29)</f>
        <v>162597</v>
      </c>
      <c r="K30" s="77">
        <f>SUM(K25:K29)</f>
        <v>1593.7194</v>
      </c>
      <c r="L30" s="2"/>
      <c r="M30"/>
    </row>
    <row r="31" spans="1:13" x14ac:dyDescent="0.45">
      <c r="G31"/>
      <c r="H31"/>
      <c r="I31"/>
      <c r="J31"/>
      <c r="K31"/>
      <c r="L31"/>
      <c r="M31"/>
    </row>
    <row r="32" spans="1:13" x14ac:dyDescent="0.45">
      <c r="G32" s="2" t="s">
        <v>147</v>
      </c>
      <c r="H32" s="74">
        <f>H30*C24*0.85</f>
        <v>1593.7194</v>
      </c>
      <c r="I32"/>
      <c r="J32"/>
      <c r="K32"/>
      <c r="L32"/>
      <c r="M32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I44" sqref="I44"/>
    </sheetView>
  </sheetViews>
  <sheetFormatPr defaultRowHeight="12.75" x14ac:dyDescent="0.35"/>
  <cols>
    <col min="1" max="1" width="15.73046875" style="80" customWidth="1"/>
    <col min="2" max="9" width="8.73046875" style="80" customWidth="1"/>
    <col min="10" max="256" width="9.06640625" style="80"/>
    <col min="257" max="257" width="15.73046875" style="80" customWidth="1"/>
    <col min="258" max="265" width="8.73046875" style="80" customWidth="1"/>
    <col min="266" max="512" width="9.06640625" style="80"/>
    <col min="513" max="513" width="15.73046875" style="80" customWidth="1"/>
    <col min="514" max="521" width="8.73046875" style="80" customWidth="1"/>
    <col min="522" max="768" width="9.06640625" style="80"/>
    <col min="769" max="769" width="15.73046875" style="80" customWidth="1"/>
    <col min="770" max="777" width="8.73046875" style="80" customWidth="1"/>
    <col min="778" max="1024" width="9.06640625" style="80"/>
    <col min="1025" max="1025" width="15.73046875" style="80" customWidth="1"/>
    <col min="1026" max="1033" width="8.73046875" style="80" customWidth="1"/>
    <col min="1034" max="1280" width="9.06640625" style="80"/>
    <col min="1281" max="1281" width="15.73046875" style="80" customWidth="1"/>
    <col min="1282" max="1289" width="8.73046875" style="80" customWidth="1"/>
    <col min="1290" max="1536" width="9.06640625" style="80"/>
    <col min="1537" max="1537" width="15.73046875" style="80" customWidth="1"/>
    <col min="1538" max="1545" width="8.73046875" style="80" customWidth="1"/>
    <col min="1546" max="1792" width="9.06640625" style="80"/>
    <col min="1793" max="1793" width="15.73046875" style="80" customWidth="1"/>
    <col min="1794" max="1801" width="8.73046875" style="80" customWidth="1"/>
    <col min="1802" max="2048" width="9.06640625" style="80"/>
    <col min="2049" max="2049" width="15.73046875" style="80" customWidth="1"/>
    <col min="2050" max="2057" width="8.73046875" style="80" customWidth="1"/>
    <col min="2058" max="2304" width="9.06640625" style="80"/>
    <col min="2305" max="2305" width="15.73046875" style="80" customWidth="1"/>
    <col min="2306" max="2313" width="8.73046875" style="80" customWidth="1"/>
    <col min="2314" max="2560" width="9.06640625" style="80"/>
    <col min="2561" max="2561" width="15.73046875" style="80" customWidth="1"/>
    <col min="2562" max="2569" width="8.73046875" style="80" customWidth="1"/>
    <col min="2570" max="2816" width="9.06640625" style="80"/>
    <col min="2817" max="2817" width="15.73046875" style="80" customWidth="1"/>
    <col min="2818" max="2825" width="8.73046875" style="80" customWidth="1"/>
    <col min="2826" max="3072" width="9.06640625" style="80"/>
    <col min="3073" max="3073" width="15.73046875" style="80" customWidth="1"/>
    <col min="3074" max="3081" width="8.73046875" style="80" customWidth="1"/>
    <col min="3082" max="3328" width="9.06640625" style="80"/>
    <col min="3329" max="3329" width="15.73046875" style="80" customWidth="1"/>
    <col min="3330" max="3337" width="8.73046875" style="80" customWidth="1"/>
    <col min="3338" max="3584" width="9.06640625" style="80"/>
    <col min="3585" max="3585" width="15.73046875" style="80" customWidth="1"/>
    <col min="3586" max="3593" width="8.73046875" style="80" customWidth="1"/>
    <col min="3594" max="3840" width="9.06640625" style="80"/>
    <col min="3841" max="3841" width="15.73046875" style="80" customWidth="1"/>
    <col min="3842" max="3849" width="8.73046875" style="80" customWidth="1"/>
    <col min="3850" max="4096" width="9.06640625" style="80"/>
    <col min="4097" max="4097" width="15.73046875" style="80" customWidth="1"/>
    <col min="4098" max="4105" width="8.73046875" style="80" customWidth="1"/>
    <col min="4106" max="4352" width="9.06640625" style="80"/>
    <col min="4353" max="4353" width="15.73046875" style="80" customWidth="1"/>
    <col min="4354" max="4361" width="8.73046875" style="80" customWidth="1"/>
    <col min="4362" max="4608" width="9.06640625" style="80"/>
    <col min="4609" max="4609" width="15.73046875" style="80" customWidth="1"/>
    <col min="4610" max="4617" width="8.73046875" style="80" customWidth="1"/>
    <col min="4618" max="4864" width="9.06640625" style="80"/>
    <col min="4865" max="4865" width="15.73046875" style="80" customWidth="1"/>
    <col min="4866" max="4873" width="8.73046875" style="80" customWidth="1"/>
    <col min="4874" max="5120" width="9.06640625" style="80"/>
    <col min="5121" max="5121" width="15.73046875" style="80" customWidth="1"/>
    <col min="5122" max="5129" width="8.73046875" style="80" customWidth="1"/>
    <col min="5130" max="5376" width="9.06640625" style="80"/>
    <col min="5377" max="5377" width="15.73046875" style="80" customWidth="1"/>
    <col min="5378" max="5385" width="8.73046875" style="80" customWidth="1"/>
    <col min="5386" max="5632" width="9.06640625" style="80"/>
    <col min="5633" max="5633" width="15.73046875" style="80" customWidth="1"/>
    <col min="5634" max="5641" width="8.73046875" style="80" customWidth="1"/>
    <col min="5642" max="5888" width="9.06640625" style="80"/>
    <col min="5889" max="5889" width="15.73046875" style="80" customWidth="1"/>
    <col min="5890" max="5897" width="8.73046875" style="80" customWidth="1"/>
    <col min="5898" max="6144" width="9.06640625" style="80"/>
    <col min="6145" max="6145" width="15.73046875" style="80" customWidth="1"/>
    <col min="6146" max="6153" width="8.73046875" style="80" customWidth="1"/>
    <col min="6154" max="6400" width="9.06640625" style="80"/>
    <col min="6401" max="6401" width="15.73046875" style="80" customWidth="1"/>
    <col min="6402" max="6409" width="8.73046875" style="80" customWidth="1"/>
    <col min="6410" max="6656" width="9.06640625" style="80"/>
    <col min="6657" max="6657" width="15.73046875" style="80" customWidth="1"/>
    <col min="6658" max="6665" width="8.73046875" style="80" customWidth="1"/>
    <col min="6666" max="6912" width="9.06640625" style="80"/>
    <col min="6913" max="6913" width="15.73046875" style="80" customWidth="1"/>
    <col min="6914" max="6921" width="8.73046875" style="80" customWidth="1"/>
    <col min="6922" max="7168" width="9.06640625" style="80"/>
    <col min="7169" max="7169" width="15.73046875" style="80" customWidth="1"/>
    <col min="7170" max="7177" width="8.73046875" style="80" customWidth="1"/>
    <col min="7178" max="7424" width="9.06640625" style="80"/>
    <col min="7425" max="7425" width="15.73046875" style="80" customWidth="1"/>
    <col min="7426" max="7433" width="8.73046875" style="80" customWidth="1"/>
    <col min="7434" max="7680" width="9.06640625" style="80"/>
    <col min="7681" max="7681" width="15.73046875" style="80" customWidth="1"/>
    <col min="7682" max="7689" width="8.73046875" style="80" customWidth="1"/>
    <col min="7690" max="7936" width="9.06640625" style="80"/>
    <col min="7937" max="7937" width="15.73046875" style="80" customWidth="1"/>
    <col min="7938" max="7945" width="8.73046875" style="80" customWidth="1"/>
    <col min="7946" max="8192" width="9.06640625" style="80"/>
    <col min="8193" max="8193" width="15.73046875" style="80" customWidth="1"/>
    <col min="8194" max="8201" width="8.73046875" style="80" customWidth="1"/>
    <col min="8202" max="8448" width="9.06640625" style="80"/>
    <col min="8449" max="8449" width="15.73046875" style="80" customWidth="1"/>
    <col min="8450" max="8457" width="8.73046875" style="80" customWidth="1"/>
    <col min="8458" max="8704" width="9.06640625" style="80"/>
    <col min="8705" max="8705" width="15.73046875" style="80" customWidth="1"/>
    <col min="8706" max="8713" width="8.73046875" style="80" customWidth="1"/>
    <col min="8714" max="8960" width="9.06640625" style="80"/>
    <col min="8961" max="8961" width="15.73046875" style="80" customWidth="1"/>
    <col min="8962" max="8969" width="8.73046875" style="80" customWidth="1"/>
    <col min="8970" max="9216" width="9.06640625" style="80"/>
    <col min="9217" max="9217" width="15.73046875" style="80" customWidth="1"/>
    <col min="9218" max="9225" width="8.73046875" style="80" customWidth="1"/>
    <col min="9226" max="9472" width="9.06640625" style="80"/>
    <col min="9473" max="9473" width="15.73046875" style="80" customWidth="1"/>
    <col min="9474" max="9481" width="8.73046875" style="80" customWidth="1"/>
    <col min="9482" max="9728" width="9.06640625" style="80"/>
    <col min="9729" max="9729" width="15.73046875" style="80" customWidth="1"/>
    <col min="9730" max="9737" width="8.73046875" style="80" customWidth="1"/>
    <col min="9738" max="9984" width="9.06640625" style="80"/>
    <col min="9985" max="9985" width="15.73046875" style="80" customWidth="1"/>
    <col min="9986" max="9993" width="8.73046875" style="80" customWidth="1"/>
    <col min="9994" max="10240" width="9.06640625" style="80"/>
    <col min="10241" max="10241" width="15.73046875" style="80" customWidth="1"/>
    <col min="10242" max="10249" width="8.73046875" style="80" customWidth="1"/>
    <col min="10250" max="10496" width="9.06640625" style="80"/>
    <col min="10497" max="10497" width="15.73046875" style="80" customWidth="1"/>
    <col min="10498" max="10505" width="8.73046875" style="80" customWidth="1"/>
    <col min="10506" max="10752" width="9.06640625" style="80"/>
    <col min="10753" max="10753" width="15.73046875" style="80" customWidth="1"/>
    <col min="10754" max="10761" width="8.73046875" style="80" customWidth="1"/>
    <col min="10762" max="11008" width="9.06640625" style="80"/>
    <col min="11009" max="11009" width="15.73046875" style="80" customWidth="1"/>
    <col min="11010" max="11017" width="8.73046875" style="80" customWidth="1"/>
    <col min="11018" max="11264" width="9.06640625" style="80"/>
    <col min="11265" max="11265" width="15.73046875" style="80" customWidth="1"/>
    <col min="11266" max="11273" width="8.73046875" style="80" customWidth="1"/>
    <col min="11274" max="11520" width="9.06640625" style="80"/>
    <col min="11521" max="11521" width="15.73046875" style="80" customWidth="1"/>
    <col min="11522" max="11529" width="8.73046875" style="80" customWidth="1"/>
    <col min="11530" max="11776" width="9.06640625" style="80"/>
    <col min="11777" max="11777" width="15.73046875" style="80" customWidth="1"/>
    <col min="11778" max="11785" width="8.73046875" style="80" customWidth="1"/>
    <col min="11786" max="12032" width="9.06640625" style="80"/>
    <col min="12033" max="12033" width="15.73046875" style="80" customWidth="1"/>
    <col min="12034" max="12041" width="8.73046875" style="80" customWidth="1"/>
    <col min="12042" max="12288" width="9.06640625" style="80"/>
    <col min="12289" max="12289" width="15.73046875" style="80" customWidth="1"/>
    <col min="12290" max="12297" width="8.73046875" style="80" customWidth="1"/>
    <col min="12298" max="12544" width="9.06640625" style="80"/>
    <col min="12545" max="12545" width="15.73046875" style="80" customWidth="1"/>
    <col min="12546" max="12553" width="8.73046875" style="80" customWidth="1"/>
    <col min="12554" max="12800" width="9.06640625" style="80"/>
    <col min="12801" max="12801" width="15.73046875" style="80" customWidth="1"/>
    <col min="12802" max="12809" width="8.73046875" style="80" customWidth="1"/>
    <col min="12810" max="13056" width="9.06640625" style="80"/>
    <col min="13057" max="13057" width="15.73046875" style="80" customWidth="1"/>
    <col min="13058" max="13065" width="8.73046875" style="80" customWidth="1"/>
    <col min="13066" max="13312" width="9.06640625" style="80"/>
    <col min="13313" max="13313" width="15.73046875" style="80" customWidth="1"/>
    <col min="13314" max="13321" width="8.73046875" style="80" customWidth="1"/>
    <col min="13322" max="13568" width="9.06640625" style="80"/>
    <col min="13569" max="13569" width="15.73046875" style="80" customWidth="1"/>
    <col min="13570" max="13577" width="8.73046875" style="80" customWidth="1"/>
    <col min="13578" max="13824" width="9.06640625" style="80"/>
    <col min="13825" max="13825" width="15.73046875" style="80" customWidth="1"/>
    <col min="13826" max="13833" width="8.73046875" style="80" customWidth="1"/>
    <col min="13834" max="14080" width="9.06640625" style="80"/>
    <col min="14081" max="14081" width="15.73046875" style="80" customWidth="1"/>
    <col min="14082" max="14089" width="8.73046875" style="80" customWidth="1"/>
    <col min="14090" max="14336" width="9.06640625" style="80"/>
    <col min="14337" max="14337" width="15.73046875" style="80" customWidth="1"/>
    <col min="14338" max="14345" width="8.73046875" style="80" customWidth="1"/>
    <col min="14346" max="14592" width="9.06640625" style="80"/>
    <col min="14593" max="14593" width="15.73046875" style="80" customWidth="1"/>
    <col min="14594" max="14601" width="8.73046875" style="80" customWidth="1"/>
    <col min="14602" max="14848" width="9.06640625" style="80"/>
    <col min="14849" max="14849" width="15.73046875" style="80" customWidth="1"/>
    <col min="14850" max="14857" width="8.73046875" style="80" customWidth="1"/>
    <col min="14858" max="15104" width="9.06640625" style="80"/>
    <col min="15105" max="15105" width="15.73046875" style="80" customWidth="1"/>
    <col min="15106" max="15113" width="8.73046875" style="80" customWidth="1"/>
    <col min="15114" max="15360" width="9.06640625" style="80"/>
    <col min="15361" max="15361" width="15.73046875" style="80" customWidth="1"/>
    <col min="15362" max="15369" width="8.73046875" style="80" customWidth="1"/>
    <col min="15370" max="15616" width="9.06640625" style="80"/>
    <col min="15617" max="15617" width="15.73046875" style="80" customWidth="1"/>
    <col min="15618" max="15625" width="8.73046875" style="80" customWidth="1"/>
    <col min="15626" max="15872" width="9.06640625" style="80"/>
    <col min="15873" max="15873" width="15.73046875" style="80" customWidth="1"/>
    <col min="15874" max="15881" width="8.73046875" style="80" customWidth="1"/>
    <col min="15882" max="16128" width="9.06640625" style="80"/>
    <col min="16129" max="16129" width="15.73046875" style="80" customWidth="1"/>
    <col min="16130" max="16137" width="8.73046875" style="80" customWidth="1"/>
    <col min="16138" max="16384" width="9.06640625" style="80"/>
  </cols>
  <sheetData>
    <row r="1" spans="1:14" ht="15" x14ac:dyDescent="0.4">
      <c r="A1" s="79" t="s">
        <v>149</v>
      </c>
    </row>
    <row r="3" spans="1:14" x14ac:dyDescent="0.35">
      <c r="A3" s="81" t="s">
        <v>150</v>
      </c>
      <c r="D3" s="81" t="str">
        <f>"Classe "&amp;Forze!I5</f>
        <v>Classe A</v>
      </c>
      <c r="E3" s="81"/>
      <c r="F3" s="82" t="s">
        <v>151</v>
      </c>
      <c r="G3" s="82" t="str">
        <f>IF(D3="Classe A","alta","media")</f>
        <v>alta</v>
      </c>
    </row>
    <row r="6" spans="1:14" ht="14.25" x14ac:dyDescent="0.4">
      <c r="A6" s="83" t="s">
        <v>152</v>
      </c>
      <c r="D6" s="81" t="s">
        <v>153</v>
      </c>
      <c r="E6" s="64">
        <v>13</v>
      </c>
      <c r="G6" s="82" t="s">
        <v>154</v>
      </c>
      <c r="H6" s="92">
        <v>4.0999999999999996</v>
      </c>
      <c r="I6" s="81" t="s">
        <v>74</v>
      </c>
    </row>
    <row r="7" spans="1:14" x14ac:dyDescent="0.35">
      <c r="A7" s="81"/>
      <c r="C7" s="81"/>
      <c r="D7" s="84"/>
    </row>
    <row r="8" spans="1:14" ht="13.15" x14ac:dyDescent="0.4">
      <c r="A8" s="83" t="s">
        <v>155</v>
      </c>
      <c r="E8" s="81"/>
    </row>
    <row r="9" spans="1:14" ht="14.25" x14ac:dyDescent="0.45">
      <c r="A9" s="85" t="s">
        <v>57</v>
      </c>
      <c r="B9" s="85" t="s">
        <v>156</v>
      </c>
      <c r="C9" s="85" t="s">
        <v>157</v>
      </c>
      <c r="D9" s="86" t="s">
        <v>158</v>
      </c>
      <c r="E9" s="85" t="s">
        <v>215</v>
      </c>
      <c r="F9" s="85" t="s">
        <v>159</v>
      </c>
      <c r="G9" s="86" t="s">
        <v>160</v>
      </c>
      <c r="H9" s="86" t="s">
        <v>161</v>
      </c>
      <c r="I9" s="87" t="s">
        <v>162</v>
      </c>
    </row>
    <row r="10" spans="1:14" x14ac:dyDescent="0.35">
      <c r="A10" s="88" t="s">
        <v>61</v>
      </c>
      <c r="B10" s="90">
        <f>Forze!L25</f>
        <v>549.59829638185204</v>
      </c>
      <c r="C10" s="89">
        <f>Masse!H7</f>
        <v>3.2</v>
      </c>
      <c r="D10" s="88">
        <f>E6</f>
        <v>13</v>
      </c>
      <c r="E10" s="90">
        <f>B10/D10</f>
        <v>42.276792029373233</v>
      </c>
      <c r="F10" s="90">
        <f>E10*C10/2</f>
        <v>67.64286724699717</v>
      </c>
      <c r="G10" s="90">
        <f>ROUND(F10/2,1)</f>
        <v>33.799999999999997</v>
      </c>
      <c r="H10" s="90">
        <f>2*G10/$H$6</f>
        <v>16.487804878048781</v>
      </c>
      <c r="I10" s="90">
        <f>H10</f>
        <v>16.487804878048781</v>
      </c>
      <c r="K10" s="88"/>
      <c r="L10" s="90"/>
      <c r="M10" s="88"/>
      <c r="N10" s="90"/>
    </row>
    <row r="11" spans="1:14" x14ac:dyDescent="0.35">
      <c r="A11" s="88">
        <v>4</v>
      </c>
      <c r="B11" s="90">
        <f>Forze!L26</f>
        <v>968.14848992047814</v>
      </c>
      <c r="C11" s="89">
        <f>Masse!H8</f>
        <v>3.2</v>
      </c>
      <c r="D11" s="88">
        <f>D10</f>
        <v>13</v>
      </c>
      <c r="E11" s="90">
        <f>B11/D11</f>
        <v>74.472960763113704</v>
      </c>
      <c r="F11" s="90">
        <f>E11*C11/2</f>
        <v>119.15673722098194</v>
      </c>
      <c r="G11" s="90">
        <f>ROUND((F10+F11)/2,1)</f>
        <v>93.4</v>
      </c>
      <c r="H11" s="90">
        <f>2*G11/$H$6</f>
        <v>45.560975609756106</v>
      </c>
      <c r="I11" s="90">
        <f>I10+H11</f>
        <v>62.048780487804891</v>
      </c>
      <c r="K11" s="88"/>
      <c r="L11" s="90"/>
      <c r="M11" s="88"/>
      <c r="N11" s="90"/>
    </row>
    <row r="12" spans="1:14" x14ac:dyDescent="0.35">
      <c r="A12" s="88">
        <v>3</v>
      </c>
      <c r="B12" s="90">
        <f>Forze!L27</f>
        <v>1285.231969873983</v>
      </c>
      <c r="C12" s="89">
        <f>Masse!H9</f>
        <v>3.2</v>
      </c>
      <c r="D12" s="88">
        <f>D11</f>
        <v>13</v>
      </c>
      <c r="E12" s="90">
        <f>B12/D12</f>
        <v>98.86399768261407</v>
      </c>
      <c r="F12" s="90">
        <f>E12*C12/2</f>
        <v>158.18239629218252</v>
      </c>
      <c r="G12" s="90">
        <f>ROUND((F11+F12)/2,1)</f>
        <v>138.69999999999999</v>
      </c>
      <c r="H12" s="90">
        <f>2*G12/$H$6</f>
        <v>67.658536585365852</v>
      </c>
      <c r="I12" s="90">
        <f>I11+H12</f>
        <v>129.70731707317074</v>
      </c>
      <c r="K12" s="88"/>
      <c r="L12" s="90"/>
      <c r="M12" s="88"/>
      <c r="N12" s="90"/>
    </row>
    <row r="13" spans="1:14" x14ac:dyDescent="0.35">
      <c r="A13" s="88">
        <v>2</v>
      </c>
      <c r="B13" s="90">
        <f>Forze!L28</f>
        <v>1500.8487362423662</v>
      </c>
      <c r="C13" s="89">
        <f>Masse!H10</f>
        <v>3.2</v>
      </c>
      <c r="D13" s="88">
        <f>D12</f>
        <v>13</v>
      </c>
      <c r="E13" s="90">
        <f>B13/D13</f>
        <v>115.44990278787432</v>
      </c>
      <c r="F13" s="90">
        <f>E13*C13/2</f>
        <v>184.71984446059892</v>
      </c>
      <c r="G13" s="90">
        <f>ROUND((F12+F13)/2,1)</f>
        <v>171.5</v>
      </c>
      <c r="H13" s="90">
        <f>2*G13/$H$6</f>
        <v>83.658536585365866</v>
      </c>
      <c r="I13" s="90">
        <f>I12+H13</f>
        <v>213.36585365853659</v>
      </c>
      <c r="K13" s="88"/>
      <c r="L13" s="90"/>
      <c r="M13" s="88"/>
      <c r="N13" s="90"/>
    </row>
    <row r="14" spans="1:14" x14ac:dyDescent="0.35">
      <c r="A14" s="88" t="s">
        <v>163</v>
      </c>
      <c r="B14" s="90">
        <f>Forze!L29</f>
        <v>1593.7194</v>
      </c>
      <c r="C14" s="89">
        <f>Masse!H11</f>
        <v>3.6</v>
      </c>
      <c r="D14" s="88">
        <f>D13</f>
        <v>13</v>
      </c>
      <c r="E14" s="90">
        <f>B14/D14</f>
        <v>122.5938</v>
      </c>
      <c r="F14" s="90">
        <f>E14*C14*0.4</f>
        <v>176.53507200000001</v>
      </c>
      <c r="G14" s="90">
        <f>ROUND((F13+F14)/2,1)</f>
        <v>180.6</v>
      </c>
      <c r="H14" s="90">
        <f>2*G14/$H$6</f>
        <v>88.097560975609767</v>
      </c>
      <c r="I14" s="90">
        <f>I13+H14</f>
        <v>301.46341463414637</v>
      </c>
      <c r="K14" s="88"/>
      <c r="L14" s="90"/>
      <c r="M14" s="88"/>
      <c r="N14" s="90"/>
    </row>
    <row r="15" spans="1:14" x14ac:dyDescent="0.35">
      <c r="A15" s="88" t="s">
        <v>164</v>
      </c>
      <c r="B15" s="88"/>
      <c r="C15" s="88"/>
      <c r="D15" s="90"/>
      <c r="F15" s="90">
        <f>E14*C14*0.6</f>
        <v>264.80260800000002</v>
      </c>
      <c r="I15" s="90"/>
      <c r="J15" s="91"/>
      <c r="L15" s="90"/>
      <c r="M15" s="88"/>
      <c r="N15" s="90"/>
    </row>
    <row r="16" spans="1:14" x14ac:dyDescent="0.35">
      <c r="A16" s="88"/>
      <c r="B16" s="88"/>
      <c r="C16" s="88"/>
      <c r="D16" s="90"/>
      <c r="F16" s="90"/>
      <c r="I16" s="90"/>
      <c r="J16" s="91"/>
      <c r="L16" s="90"/>
      <c r="M16" s="88"/>
      <c r="N16" s="90"/>
    </row>
    <row r="17" spans="1:14" ht="13.15" x14ac:dyDescent="0.4">
      <c r="A17" s="83" t="s">
        <v>169</v>
      </c>
      <c r="B17" s="88"/>
      <c r="C17" s="88"/>
      <c r="D17" s="90"/>
      <c r="F17" s="90"/>
      <c r="I17" s="90"/>
      <c r="J17" s="91"/>
      <c r="K17" s="83" t="s">
        <v>166</v>
      </c>
      <c r="M17" s="88"/>
      <c r="N17" s="90"/>
    </row>
    <row r="18" spans="1:14" ht="14.25" x14ac:dyDescent="0.45">
      <c r="A18" s="85" t="s">
        <v>57</v>
      </c>
      <c r="B18" s="88"/>
      <c r="C18" s="88"/>
      <c r="D18" s="90"/>
      <c r="E18" s="85" t="s">
        <v>215</v>
      </c>
      <c r="F18" s="85" t="s">
        <v>159</v>
      </c>
      <c r="G18" s="86" t="s">
        <v>160</v>
      </c>
      <c r="H18" s="86" t="s">
        <v>161</v>
      </c>
      <c r="I18" s="87" t="s">
        <v>162</v>
      </c>
      <c r="J18" s="91"/>
      <c r="K18" s="86" t="s">
        <v>167</v>
      </c>
      <c r="L18" s="85" t="s">
        <v>159</v>
      </c>
      <c r="M18" s="88"/>
      <c r="N18" s="90"/>
    </row>
    <row r="19" spans="1:14" x14ac:dyDescent="0.35">
      <c r="A19" s="88" t="s">
        <v>61</v>
      </c>
      <c r="B19" s="88"/>
      <c r="C19" s="88"/>
      <c r="D19" s="90"/>
      <c r="E19" s="90">
        <f>E10</f>
        <v>42.276792029373233</v>
      </c>
      <c r="F19" s="90">
        <f t="shared" ref="F19:I20" si="0">F10*0.9</f>
        <v>60.878580522297455</v>
      </c>
      <c r="G19" s="90">
        <f t="shared" si="0"/>
        <v>30.419999999999998</v>
      </c>
      <c r="H19" s="90">
        <f>H10</f>
        <v>16.487804878048781</v>
      </c>
      <c r="I19" s="90">
        <f>I10</f>
        <v>16.487804878048781</v>
      </c>
      <c r="J19" s="91"/>
      <c r="K19" s="88">
        <f>IF($D$3="Classe B",1.3,1.5)</f>
        <v>1.5</v>
      </c>
      <c r="L19" s="90">
        <f t="shared" ref="L19:L24" si="1">F19*K19</f>
        <v>91.317870783446182</v>
      </c>
      <c r="M19" s="88"/>
      <c r="N19" s="90"/>
    </row>
    <row r="20" spans="1:14" x14ac:dyDescent="0.35">
      <c r="A20" s="88">
        <v>4</v>
      </c>
      <c r="B20" s="88"/>
      <c r="C20" s="88"/>
      <c r="D20" s="90"/>
      <c r="E20" s="90">
        <f>E11</f>
        <v>74.472960763113704</v>
      </c>
      <c r="F20" s="90">
        <f t="shared" si="0"/>
        <v>107.24106349888375</v>
      </c>
      <c r="G20" s="90">
        <f t="shared" si="0"/>
        <v>84.06</v>
      </c>
      <c r="H20" s="90">
        <f>H11</f>
        <v>45.560975609756106</v>
      </c>
      <c r="I20" s="90">
        <f>I11</f>
        <v>62.048780487804891</v>
      </c>
      <c r="J20" s="91"/>
      <c r="K20" s="88">
        <f>IF($D$3="Classe B",1.3,1.5)</f>
        <v>1.5</v>
      </c>
      <c r="L20" s="90">
        <f t="shared" si="1"/>
        <v>160.86159524832561</v>
      </c>
      <c r="M20" s="88"/>
      <c r="N20" s="90"/>
    </row>
    <row r="21" spans="1:14" x14ac:dyDescent="0.35">
      <c r="A21" s="88">
        <v>3</v>
      </c>
      <c r="B21" s="88"/>
      <c r="C21" s="88"/>
      <c r="D21" s="90"/>
      <c r="E21" s="90">
        <f t="shared" ref="E21:E23" si="2">E12</f>
        <v>98.86399768261407</v>
      </c>
      <c r="F21" s="90">
        <f t="shared" ref="F21:I21" si="3">F12*0.9</f>
        <v>142.36415666296426</v>
      </c>
      <c r="G21" s="90">
        <f t="shared" si="3"/>
        <v>124.83</v>
      </c>
      <c r="H21" s="90">
        <f t="shared" ref="H21:I21" si="4">H12</f>
        <v>67.658536585365852</v>
      </c>
      <c r="I21" s="90">
        <f t="shared" si="4"/>
        <v>129.70731707317074</v>
      </c>
      <c r="J21" s="91"/>
      <c r="K21" s="88">
        <f>IF($D$3="Classe B",1.3,1.5)</f>
        <v>1.5</v>
      </c>
      <c r="L21" s="90">
        <f t="shared" si="1"/>
        <v>213.54623499444639</v>
      </c>
      <c r="M21" s="88"/>
      <c r="N21" s="90"/>
    </row>
    <row r="22" spans="1:14" x14ac:dyDescent="0.35">
      <c r="A22" s="88">
        <v>2</v>
      </c>
      <c r="B22" s="88"/>
      <c r="C22" s="88"/>
      <c r="D22" s="90"/>
      <c r="E22" s="90">
        <f t="shared" si="2"/>
        <v>115.44990278787432</v>
      </c>
      <c r="F22" s="90">
        <f t="shared" ref="F22:I22" si="5">F13*0.9</f>
        <v>166.24786001453904</v>
      </c>
      <c r="G22" s="90">
        <f t="shared" si="5"/>
        <v>154.35</v>
      </c>
      <c r="H22" s="90">
        <f t="shared" ref="H22:I22" si="6">H13</f>
        <v>83.658536585365866</v>
      </c>
      <c r="I22" s="90">
        <f t="shared" si="6"/>
        <v>213.36585365853659</v>
      </c>
      <c r="J22" s="91"/>
      <c r="K22" s="88">
        <f>IF($D$3="Classe B",1.3,1.5)</f>
        <v>1.5</v>
      </c>
      <c r="L22" s="90">
        <f t="shared" si="1"/>
        <v>249.37179002180858</v>
      </c>
      <c r="M22" s="88"/>
      <c r="N22" s="90"/>
    </row>
    <row r="23" spans="1:14" x14ac:dyDescent="0.35">
      <c r="A23" s="88" t="s">
        <v>163</v>
      </c>
      <c r="B23" s="88"/>
      <c r="C23" s="88"/>
      <c r="D23" s="90"/>
      <c r="E23" s="90">
        <f t="shared" si="2"/>
        <v>122.5938</v>
      </c>
      <c r="F23" s="90">
        <f t="shared" ref="F23:I23" si="7">F14*0.9</f>
        <v>158.88156480000001</v>
      </c>
      <c r="G23" s="90">
        <f t="shared" si="7"/>
        <v>162.54</v>
      </c>
      <c r="H23" s="90">
        <f t="shared" ref="H23:I23" si="8">H14</f>
        <v>88.097560975609767</v>
      </c>
      <c r="I23" s="90">
        <f t="shared" si="8"/>
        <v>301.46341463414637</v>
      </c>
      <c r="J23" s="91"/>
      <c r="K23" s="88">
        <f>IF($D$3="Classe B",1.3,1.5)</f>
        <v>1.5</v>
      </c>
      <c r="L23" s="90">
        <f t="shared" si="1"/>
        <v>238.32234720000002</v>
      </c>
      <c r="M23" s="88"/>
      <c r="N23" s="90"/>
    </row>
    <row r="24" spans="1:14" x14ac:dyDescent="0.35">
      <c r="A24" s="88" t="s">
        <v>164</v>
      </c>
      <c r="B24" s="88"/>
      <c r="C24" s="88"/>
      <c r="D24" s="90"/>
      <c r="F24" s="90">
        <f>F15</f>
        <v>264.80260800000002</v>
      </c>
      <c r="I24" s="90"/>
      <c r="J24" s="91"/>
      <c r="K24" s="88">
        <v>1</v>
      </c>
      <c r="L24" s="90">
        <f t="shared" si="1"/>
        <v>264.80260800000002</v>
      </c>
      <c r="M24" s="88"/>
      <c r="N24" s="90"/>
    </row>
    <row r="25" spans="1:14" x14ac:dyDescent="0.35">
      <c r="A25" s="88"/>
      <c r="B25" s="88"/>
      <c r="C25" s="88"/>
      <c r="D25" s="90"/>
      <c r="E25" s="90"/>
      <c r="G25" s="89"/>
      <c r="I25" s="90"/>
    </row>
    <row r="26" spans="1:14" ht="13.15" x14ac:dyDescent="0.4">
      <c r="A26" s="83" t="s">
        <v>165</v>
      </c>
      <c r="B26" s="88"/>
      <c r="C26" s="88"/>
      <c r="D26" s="90"/>
      <c r="E26" s="90"/>
      <c r="G26" s="89"/>
      <c r="I26" s="90"/>
      <c r="K26" s="83" t="s">
        <v>166</v>
      </c>
    </row>
    <row r="27" spans="1:14" ht="14.25" x14ac:dyDescent="0.45">
      <c r="A27" s="85" t="s">
        <v>57</v>
      </c>
      <c r="C27" s="88"/>
      <c r="D27" s="82" t="s">
        <v>167</v>
      </c>
      <c r="E27" s="85" t="s">
        <v>215</v>
      </c>
      <c r="F27" s="85" t="s">
        <v>159</v>
      </c>
      <c r="G27" s="86" t="s">
        <v>160</v>
      </c>
      <c r="H27" s="86" t="s">
        <v>161</v>
      </c>
      <c r="I27" s="87" t="s">
        <v>162</v>
      </c>
      <c r="K27" s="86" t="s">
        <v>167</v>
      </c>
      <c r="L27" s="85" t="s">
        <v>159</v>
      </c>
    </row>
    <row r="28" spans="1:14" x14ac:dyDescent="0.35">
      <c r="A28" s="88" t="s">
        <v>61</v>
      </c>
      <c r="D28" s="89">
        <v>1.2</v>
      </c>
      <c r="E28" s="90">
        <f>E19*$D28</f>
        <v>50.732150435247881</v>
      </c>
      <c r="F28" s="90">
        <f t="shared" ref="F28:I28" si="9">F19*$D28</f>
        <v>73.054296626756937</v>
      </c>
      <c r="G28" s="90">
        <f t="shared" si="9"/>
        <v>36.503999999999998</v>
      </c>
      <c r="H28" s="90">
        <f t="shared" si="9"/>
        <v>19.785365853658536</v>
      </c>
      <c r="I28" s="90">
        <f t="shared" si="9"/>
        <v>19.785365853658536</v>
      </c>
      <c r="K28" s="88">
        <f>IF($D$3="Classe B",1.3,1.5)</f>
        <v>1.5</v>
      </c>
      <c r="L28" s="90">
        <f t="shared" ref="L28:L33" si="10">F28*K28</f>
        <v>109.58144494013541</v>
      </c>
    </row>
    <row r="29" spans="1:14" x14ac:dyDescent="0.35">
      <c r="A29" s="88">
        <v>4</v>
      </c>
      <c r="D29" s="89">
        <v>1.2</v>
      </c>
      <c r="E29" s="90">
        <f t="shared" ref="E29:I29" si="11">E20*$D29</f>
        <v>89.367552915736439</v>
      </c>
      <c r="F29" s="90">
        <f t="shared" si="11"/>
        <v>128.68927619866048</v>
      </c>
      <c r="G29" s="90">
        <f t="shared" si="11"/>
        <v>100.872</v>
      </c>
      <c r="H29" s="90">
        <f t="shared" si="11"/>
        <v>54.673170731707323</v>
      </c>
      <c r="I29" s="90">
        <f t="shared" si="11"/>
        <v>74.458536585365863</v>
      </c>
      <c r="K29" s="88">
        <f>IF($D$3="Classe B",1.3,1.5)</f>
        <v>1.5</v>
      </c>
      <c r="L29" s="90">
        <f t="shared" si="10"/>
        <v>193.03391429799072</v>
      </c>
    </row>
    <row r="30" spans="1:14" x14ac:dyDescent="0.35">
      <c r="A30" s="88">
        <v>3</v>
      </c>
      <c r="D30" s="89">
        <v>1.2</v>
      </c>
      <c r="E30" s="90">
        <f t="shared" ref="E30:I30" si="12">E21*$D30</f>
        <v>118.63679721913688</v>
      </c>
      <c r="F30" s="90">
        <f t="shared" si="12"/>
        <v>170.83698799555711</v>
      </c>
      <c r="G30" s="90">
        <f t="shared" si="12"/>
        <v>149.79599999999999</v>
      </c>
      <c r="H30" s="90">
        <f t="shared" si="12"/>
        <v>81.190243902439022</v>
      </c>
      <c r="I30" s="90">
        <f t="shared" si="12"/>
        <v>155.64878048780488</v>
      </c>
      <c r="J30" s="89"/>
      <c r="K30" s="88">
        <f>IF($D$3="Classe B",1.3,1.5)</f>
        <v>1.5</v>
      </c>
      <c r="L30" s="90">
        <f t="shared" si="10"/>
        <v>256.25548199333565</v>
      </c>
    </row>
    <row r="31" spans="1:14" x14ac:dyDescent="0.35">
      <c r="A31" s="88">
        <v>2</v>
      </c>
      <c r="D31" s="89">
        <v>1.2</v>
      </c>
      <c r="E31" s="90">
        <f t="shared" ref="E31:I31" si="13">E22*$D31</f>
        <v>138.53988334544917</v>
      </c>
      <c r="F31" s="90">
        <f t="shared" si="13"/>
        <v>199.49743201744684</v>
      </c>
      <c r="G31" s="90">
        <f t="shared" si="13"/>
        <v>185.22</v>
      </c>
      <c r="H31" s="90">
        <f t="shared" si="13"/>
        <v>100.39024390243904</v>
      </c>
      <c r="I31" s="90">
        <f t="shared" si="13"/>
        <v>256.03902439024392</v>
      </c>
      <c r="K31" s="88">
        <f>IF($D$3="Classe B",1.3,1.5)</f>
        <v>1.5</v>
      </c>
      <c r="L31" s="90">
        <f t="shared" si="10"/>
        <v>299.24614802617026</v>
      </c>
    </row>
    <row r="32" spans="1:14" x14ac:dyDescent="0.35">
      <c r="A32" s="88" t="s">
        <v>163</v>
      </c>
      <c r="D32" s="89">
        <v>1.2</v>
      </c>
      <c r="E32" s="90">
        <f t="shared" ref="E32:I33" si="14">E23*$D32</f>
        <v>147.11256</v>
      </c>
      <c r="F32" s="90">
        <f t="shared" si="14"/>
        <v>190.65787775999999</v>
      </c>
      <c r="G32" s="90">
        <f t="shared" si="14"/>
        <v>195.04799999999997</v>
      </c>
      <c r="H32" s="90">
        <f t="shared" si="14"/>
        <v>105.71707317073172</v>
      </c>
      <c r="I32" s="90">
        <f t="shared" si="14"/>
        <v>361.75609756097566</v>
      </c>
      <c r="K32" s="88">
        <f>IF($D$3="Classe B",1.3,1.5)</f>
        <v>1.5</v>
      </c>
      <c r="L32" s="90">
        <f t="shared" si="10"/>
        <v>285.98681663999997</v>
      </c>
    </row>
    <row r="33" spans="1:14" x14ac:dyDescent="0.35">
      <c r="A33" s="88" t="s">
        <v>164</v>
      </c>
      <c r="D33" s="89">
        <v>1.2</v>
      </c>
      <c r="F33" s="90">
        <f t="shared" si="14"/>
        <v>317.76312960000001</v>
      </c>
      <c r="I33" s="90"/>
      <c r="K33" s="88">
        <v>1</v>
      </c>
      <c r="L33" s="90">
        <f t="shared" si="10"/>
        <v>317.76312960000001</v>
      </c>
    </row>
    <row r="35" spans="1:14" ht="14.25" x14ac:dyDescent="0.4">
      <c r="A35" s="83" t="s">
        <v>168</v>
      </c>
      <c r="D35" s="81" t="s">
        <v>153</v>
      </c>
      <c r="E35" s="64">
        <v>14</v>
      </c>
      <c r="G35" s="82" t="s">
        <v>154</v>
      </c>
      <c r="H35" s="92">
        <v>4.0999999999999996</v>
      </c>
      <c r="I35" s="81" t="s">
        <v>74</v>
      </c>
    </row>
    <row r="36" spans="1:14" x14ac:dyDescent="0.35">
      <c r="A36" s="81"/>
      <c r="C36" s="81"/>
      <c r="D36" s="84"/>
    </row>
    <row r="37" spans="1:14" ht="13.15" x14ac:dyDescent="0.4">
      <c r="A37" s="83" t="s">
        <v>155</v>
      </c>
      <c r="E37" s="81"/>
    </row>
    <row r="38" spans="1:14" ht="14.25" x14ac:dyDescent="0.45">
      <c r="A38" s="85" t="s">
        <v>57</v>
      </c>
      <c r="B38" s="85" t="s">
        <v>156</v>
      </c>
      <c r="C38" s="85" t="s">
        <v>157</v>
      </c>
      <c r="D38" s="86" t="s">
        <v>158</v>
      </c>
      <c r="E38" s="85" t="s">
        <v>215</v>
      </c>
      <c r="F38" s="85" t="s">
        <v>159</v>
      </c>
      <c r="G38" s="86" t="s">
        <v>160</v>
      </c>
      <c r="H38" s="86" t="s">
        <v>161</v>
      </c>
      <c r="I38" s="87" t="s">
        <v>162</v>
      </c>
    </row>
    <row r="39" spans="1:14" x14ac:dyDescent="0.35">
      <c r="A39" s="88" t="s">
        <v>61</v>
      </c>
      <c r="B39" s="90">
        <f t="shared" ref="B39:C43" si="15">B10</f>
        <v>549.59829638185204</v>
      </c>
      <c r="C39" s="89">
        <f t="shared" si="15"/>
        <v>3.2</v>
      </c>
      <c r="D39" s="88">
        <f>E35</f>
        <v>14</v>
      </c>
      <c r="E39" s="90">
        <f>B39/D39</f>
        <v>39.25702117013229</v>
      </c>
      <c r="F39" s="90">
        <f>E39*C39/2</f>
        <v>62.811233872211666</v>
      </c>
      <c r="G39" s="90">
        <f>ROUND(F39/2,1)</f>
        <v>31.4</v>
      </c>
      <c r="H39" s="90">
        <f>2*G39/$H$6</f>
        <v>15.317073170731708</v>
      </c>
      <c r="I39" s="90">
        <f>H39</f>
        <v>15.317073170731708</v>
      </c>
      <c r="K39" s="88"/>
      <c r="L39" s="90"/>
      <c r="M39" s="88"/>
      <c r="N39" s="90"/>
    </row>
    <row r="40" spans="1:14" x14ac:dyDescent="0.35">
      <c r="A40" s="88">
        <v>4</v>
      </c>
      <c r="B40" s="90">
        <f t="shared" si="15"/>
        <v>968.14848992047814</v>
      </c>
      <c r="C40" s="89">
        <f t="shared" si="15"/>
        <v>3.2</v>
      </c>
      <c r="D40" s="88">
        <f>D39</f>
        <v>14</v>
      </c>
      <c r="E40" s="90">
        <f>B40/D40</f>
        <v>69.153463565748439</v>
      </c>
      <c r="F40" s="90">
        <f>E40*C40/2</f>
        <v>110.6455417051975</v>
      </c>
      <c r="G40" s="90">
        <f>ROUND((F39+F40)/2,1)</f>
        <v>86.7</v>
      </c>
      <c r="H40" s="90">
        <f>2*G40/$H$6</f>
        <v>42.292682926829272</v>
      </c>
      <c r="I40" s="90">
        <f>I39+H40</f>
        <v>57.609756097560982</v>
      </c>
      <c r="K40" s="88"/>
      <c r="L40" s="90"/>
      <c r="M40" s="88"/>
      <c r="N40" s="90"/>
    </row>
    <row r="41" spans="1:14" x14ac:dyDescent="0.35">
      <c r="A41" s="88">
        <v>3</v>
      </c>
      <c r="B41" s="90">
        <f t="shared" si="15"/>
        <v>1285.231969873983</v>
      </c>
      <c r="C41" s="89">
        <f t="shared" si="15"/>
        <v>3.2</v>
      </c>
      <c r="D41" s="88">
        <f>D40</f>
        <v>14</v>
      </c>
      <c r="E41" s="90">
        <f>B41/D41</f>
        <v>91.802283562427348</v>
      </c>
      <c r="F41" s="90">
        <f>E41*C41/2</f>
        <v>146.88365369988375</v>
      </c>
      <c r="G41" s="90">
        <f>ROUND((F40+F41)/2,1)</f>
        <v>128.80000000000001</v>
      </c>
      <c r="H41" s="90">
        <f>2*G41/$H$6</f>
        <v>62.82926829268294</v>
      </c>
      <c r="I41" s="90">
        <f>I40+H41</f>
        <v>120.43902439024393</v>
      </c>
      <c r="K41" s="88"/>
      <c r="L41" s="90"/>
      <c r="M41" s="88"/>
      <c r="N41" s="90"/>
    </row>
    <row r="42" spans="1:14" x14ac:dyDescent="0.35">
      <c r="A42" s="88">
        <v>2</v>
      </c>
      <c r="B42" s="90">
        <f t="shared" si="15"/>
        <v>1500.8487362423662</v>
      </c>
      <c r="C42" s="89">
        <f t="shared" si="15"/>
        <v>3.2</v>
      </c>
      <c r="D42" s="88">
        <f>D41</f>
        <v>14</v>
      </c>
      <c r="E42" s="90">
        <f>B42/D42</f>
        <v>107.20348116016901</v>
      </c>
      <c r="F42" s="90">
        <f>E42*C42/2</f>
        <v>171.52556985627041</v>
      </c>
      <c r="G42" s="90">
        <f>ROUND((F41+F42)/2,1)</f>
        <v>159.19999999999999</v>
      </c>
      <c r="H42" s="90">
        <f>2*G42/$H$6</f>
        <v>77.658536585365852</v>
      </c>
      <c r="I42" s="90">
        <f>I41+H42</f>
        <v>198.09756097560978</v>
      </c>
      <c r="K42" s="88"/>
      <c r="L42" s="90"/>
      <c r="M42" s="88"/>
      <c r="N42" s="90"/>
    </row>
    <row r="43" spans="1:14" x14ac:dyDescent="0.35">
      <c r="A43" s="88" t="s">
        <v>163</v>
      </c>
      <c r="B43" s="90">
        <f t="shared" si="15"/>
        <v>1593.7194</v>
      </c>
      <c r="C43" s="89">
        <f t="shared" si="15"/>
        <v>3.6</v>
      </c>
      <c r="D43" s="88">
        <f>D42</f>
        <v>14</v>
      </c>
      <c r="E43" s="90">
        <f>B43/D43</f>
        <v>113.83709999999999</v>
      </c>
      <c r="F43" s="90">
        <f>E43*C43*0.4</f>
        <v>163.92542400000002</v>
      </c>
      <c r="G43" s="90">
        <f>ROUND((F42+F43)/2,1)</f>
        <v>167.7</v>
      </c>
      <c r="H43" s="90">
        <f>2*G43/$H$6</f>
        <v>81.804878048780495</v>
      </c>
      <c r="I43" s="90">
        <f>I42+H43</f>
        <v>279.90243902439028</v>
      </c>
      <c r="K43" s="88"/>
      <c r="L43" s="90"/>
      <c r="M43" s="88"/>
      <c r="N43" s="90"/>
    </row>
    <row r="44" spans="1:14" x14ac:dyDescent="0.35">
      <c r="A44" s="88" t="s">
        <v>164</v>
      </c>
      <c r="B44" s="88"/>
      <c r="C44" s="88"/>
      <c r="D44" s="90"/>
      <c r="F44" s="90">
        <f>E43*C43*0.6</f>
        <v>245.88813599999997</v>
      </c>
      <c r="I44" s="90"/>
      <c r="J44" s="91"/>
      <c r="L44" s="90"/>
      <c r="M44" s="88"/>
      <c r="N44" s="90"/>
    </row>
    <row r="45" spans="1:14" x14ac:dyDescent="0.35">
      <c r="A45" s="88"/>
      <c r="B45" s="88"/>
      <c r="C45" s="88"/>
      <c r="D45" s="90"/>
      <c r="F45" s="90"/>
      <c r="I45" s="90"/>
      <c r="J45" s="91"/>
      <c r="L45" s="90"/>
      <c r="M45" s="88"/>
      <c r="N45" s="90"/>
    </row>
    <row r="46" spans="1:14" ht="13.15" x14ac:dyDescent="0.4">
      <c r="A46" s="83" t="s">
        <v>169</v>
      </c>
      <c r="B46" s="88"/>
      <c r="C46" s="88"/>
      <c r="D46" s="90"/>
      <c r="F46" s="90"/>
      <c r="I46" s="90"/>
      <c r="J46" s="91"/>
      <c r="K46" s="83" t="s">
        <v>166</v>
      </c>
      <c r="M46" s="88"/>
      <c r="N46" s="90"/>
    </row>
    <row r="47" spans="1:14" ht="14.25" x14ac:dyDescent="0.45">
      <c r="A47" s="85" t="s">
        <v>57</v>
      </c>
      <c r="B47" s="88"/>
      <c r="C47" s="88"/>
      <c r="D47" s="90"/>
      <c r="E47" s="85" t="s">
        <v>215</v>
      </c>
      <c r="F47" s="85" t="s">
        <v>159</v>
      </c>
      <c r="G47" s="86" t="s">
        <v>160</v>
      </c>
      <c r="H47" s="86" t="s">
        <v>161</v>
      </c>
      <c r="I47" s="87" t="s">
        <v>162</v>
      </c>
      <c r="J47" s="91"/>
      <c r="K47" s="86" t="s">
        <v>167</v>
      </c>
      <c r="L47" s="85" t="s">
        <v>159</v>
      </c>
      <c r="M47" s="88"/>
      <c r="N47" s="90"/>
    </row>
    <row r="48" spans="1:14" x14ac:dyDescent="0.35">
      <c r="A48" s="88" t="s">
        <v>61</v>
      </c>
      <c r="B48" s="88"/>
      <c r="C48" s="88"/>
      <c r="D48" s="90"/>
      <c r="E48" s="90">
        <f>E39</f>
        <v>39.25702117013229</v>
      </c>
      <c r="F48" s="90">
        <f t="shared" ref="F48:I48" si="16">F39*0.9</f>
        <v>56.530110484990502</v>
      </c>
      <c r="G48" s="90">
        <f t="shared" si="16"/>
        <v>28.259999999999998</v>
      </c>
      <c r="H48" s="90">
        <f>H39</f>
        <v>15.317073170731708</v>
      </c>
      <c r="I48" s="90">
        <f>I39</f>
        <v>15.317073170731708</v>
      </c>
      <c r="J48" s="91"/>
      <c r="K48" s="88">
        <f>IF($D$3="Classe B",1.3,1.5)</f>
        <v>1.5</v>
      </c>
      <c r="L48" s="90">
        <f t="shared" ref="L48:L53" si="17">F48*K48</f>
        <v>84.795165727485752</v>
      </c>
      <c r="M48" s="88"/>
      <c r="N48" s="90"/>
    </row>
    <row r="49" spans="1:14" x14ac:dyDescent="0.35">
      <c r="A49" s="88">
        <v>4</v>
      </c>
      <c r="B49" s="88"/>
      <c r="C49" s="88"/>
      <c r="D49" s="90"/>
      <c r="E49" s="90">
        <f>E40</f>
        <v>69.153463565748439</v>
      </c>
      <c r="F49" s="90">
        <f t="shared" ref="F49:I49" si="18">F40*0.9</f>
        <v>99.58098753467776</v>
      </c>
      <c r="G49" s="90">
        <f t="shared" si="18"/>
        <v>78.03</v>
      </c>
      <c r="H49" s="90">
        <f>H40</f>
        <v>42.292682926829272</v>
      </c>
      <c r="I49" s="90">
        <f>I40</f>
        <v>57.609756097560982</v>
      </c>
      <c r="J49" s="91"/>
      <c r="K49" s="88">
        <f>IF($D$3="Classe B",1.3,1.5)</f>
        <v>1.5</v>
      </c>
      <c r="L49" s="90">
        <f t="shared" si="17"/>
        <v>149.37148130201663</v>
      </c>
      <c r="M49" s="88"/>
      <c r="N49" s="90"/>
    </row>
    <row r="50" spans="1:14" x14ac:dyDescent="0.35">
      <c r="A50" s="88">
        <v>3</v>
      </c>
      <c r="B50" s="88"/>
      <c r="C50" s="88"/>
      <c r="D50" s="90"/>
      <c r="E50" s="90">
        <f t="shared" ref="E50:E52" si="19">E41</f>
        <v>91.802283562427348</v>
      </c>
      <c r="F50" s="90">
        <f t="shared" ref="F50:I50" si="20">F41*0.9</f>
        <v>132.19528832989539</v>
      </c>
      <c r="G50" s="90">
        <f t="shared" si="20"/>
        <v>115.92000000000002</v>
      </c>
      <c r="H50" s="90">
        <f t="shared" ref="H50:I50" si="21">H41</f>
        <v>62.82926829268294</v>
      </c>
      <c r="I50" s="90">
        <f t="shared" si="21"/>
        <v>120.43902439024393</v>
      </c>
      <c r="J50" s="91"/>
      <c r="K50" s="88">
        <f>IF($D$3="Classe B",1.3,1.5)</f>
        <v>1.5</v>
      </c>
      <c r="L50" s="90">
        <f t="shared" si="17"/>
        <v>198.29293249484309</v>
      </c>
      <c r="M50" s="88"/>
      <c r="N50" s="90"/>
    </row>
    <row r="51" spans="1:14" x14ac:dyDescent="0.35">
      <c r="A51" s="88">
        <v>2</v>
      </c>
      <c r="B51" s="88"/>
      <c r="C51" s="88"/>
      <c r="D51" s="90"/>
      <c r="E51" s="90">
        <f t="shared" si="19"/>
        <v>107.20348116016901</v>
      </c>
      <c r="F51" s="90">
        <f t="shared" ref="F51:I51" si="22">F42*0.9</f>
        <v>154.37301287064338</v>
      </c>
      <c r="G51" s="90">
        <f t="shared" si="22"/>
        <v>143.28</v>
      </c>
      <c r="H51" s="90">
        <f t="shared" ref="H51:I51" si="23">H42</f>
        <v>77.658536585365852</v>
      </c>
      <c r="I51" s="90">
        <f t="shared" si="23"/>
        <v>198.09756097560978</v>
      </c>
      <c r="J51" s="91"/>
      <c r="K51" s="88">
        <f>IF($D$3="Classe B",1.3,1.5)</f>
        <v>1.5</v>
      </c>
      <c r="L51" s="90">
        <f t="shared" si="17"/>
        <v>231.55951930596507</v>
      </c>
      <c r="M51" s="88"/>
      <c r="N51" s="90"/>
    </row>
    <row r="52" spans="1:14" x14ac:dyDescent="0.35">
      <c r="A52" s="88" t="s">
        <v>163</v>
      </c>
      <c r="B52" s="88"/>
      <c r="C52" s="88"/>
      <c r="D52" s="90"/>
      <c r="E52" s="90">
        <f t="shared" si="19"/>
        <v>113.83709999999999</v>
      </c>
      <c r="F52" s="90">
        <f t="shared" ref="F52:I52" si="24">F43*0.9</f>
        <v>147.53288160000002</v>
      </c>
      <c r="G52" s="90">
        <f t="shared" si="24"/>
        <v>150.93</v>
      </c>
      <c r="H52" s="90">
        <f t="shared" ref="H52:I52" si="25">H43</f>
        <v>81.804878048780495</v>
      </c>
      <c r="I52" s="90">
        <f t="shared" si="25"/>
        <v>279.90243902439028</v>
      </c>
      <c r="J52" s="91"/>
      <c r="K52" s="88">
        <f>IF($D$3="Classe B",1.3,1.5)</f>
        <v>1.5</v>
      </c>
      <c r="L52" s="90">
        <f t="shared" si="17"/>
        <v>221.29932240000005</v>
      </c>
      <c r="M52" s="88"/>
      <c r="N52" s="90"/>
    </row>
    <row r="53" spans="1:14" x14ac:dyDescent="0.35">
      <c r="A53" s="88" t="s">
        <v>164</v>
      </c>
      <c r="B53" s="88"/>
      <c r="C53" s="88"/>
      <c r="D53" s="90"/>
      <c r="F53" s="90">
        <f>F44</f>
        <v>245.88813599999997</v>
      </c>
      <c r="I53" s="90"/>
      <c r="J53" s="91"/>
      <c r="K53" s="88">
        <v>1</v>
      </c>
      <c r="L53" s="90">
        <f t="shared" si="17"/>
        <v>245.88813599999997</v>
      </c>
      <c r="M53" s="88"/>
      <c r="N53" s="90"/>
    </row>
    <row r="54" spans="1:14" x14ac:dyDescent="0.35">
      <c r="A54" s="88"/>
      <c r="B54" s="88"/>
      <c r="C54" s="88"/>
      <c r="D54" s="90"/>
      <c r="E54" s="90"/>
      <c r="G54" s="89"/>
      <c r="I54" s="90"/>
    </row>
    <row r="55" spans="1:14" ht="13.15" x14ac:dyDescent="0.4">
      <c r="A55" s="83" t="s">
        <v>165</v>
      </c>
      <c r="B55" s="88"/>
      <c r="C55" s="88"/>
      <c r="D55" s="90"/>
      <c r="E55" s="90"/>
      <c r="G55" s="89"/>
      <c r="I55" s="90"/>
      <c r="K55" s="83" t="s">
        <v>166</v>
      </c>
    </row>
    <row r="56" spans="1:14" ht="14.25" x14ac:dyDescent="0.45">
      <c r="A56" s="85" t="s">
        <v>57</v>
      </c>
      <c r="C56" s="88"/>
      <c r="D56" s="82" t="s">
        <v>167</v>
      </c>
      <c r="E56" s="85" t="s">
        <v>215</v>
      </c>
      <c r="F56" s="85" t="s">
        <v>159</v>
      </c>
      <c r="G56" s="86" t="s">
        <v>160</v>
      </c>
      <c r="H56" s="86" t="s">
        <v>161</v>
      </c>
      <c r="I56" s="87" t="s">
        <v>162</v>
      </c>
      <c r="K56" s="86" t="s">
        <v>167</v>
      </c>
      <c r="L56" s="85" t="s">
        <v>159</v>
      </c>
    </row>
    <row r="57" spans="1:14" x14ac:dyDescent="0.35">
      <c r="A57" s="88" t="s">
        <v>61</v>
      </c>
      <c r="D57" s="89">
        <v>1.2</v>
      </c>
      <c r="E57" s="90">
        <f>E48*$D57</f>
        <v>47.108425404158744</v>
      </c>
      <c r="F57" s="90">
        <f t="shared" ref="F57:I57" si="26">F48*$D57</f>
        <v>67.836132581988593</v>
      </c>
      <c r="G57" s="90">
        <f t="shared" si="26"/>
        <v>33.911999999999999</v>
      </c>
      <c r="H57" s="90">
        <f t="shared" si="26"/>
        <v>18.380487804878051</v>
      </c>
      <c r="I57" s="90">
        <f t="shared" si="26"/>
        <v>18.380487804878051</v>
      </c>
      <c r="K57" s="88">
        <f>IF($D$3="Classe B",1.3,1.5)</f>
        <v>1.5</v>
      </c>
      <c r="L57" s="90">
        <f t="shared" ref="L57:L62" si="27">F57*K57</f>
        <v>101.7541988729829</v>
      </c>
    </row>
    <row r="58" spans="1:14" x14ac:dyDescent="0.35">
      <c r="A58" s="88">
        <v>4</v>
      </c>
      <c r="D58" s="89">
        <v>1.2</v>
      </c>
      <c r="E58" s="90">
        <f t="shared" ref="E58:I58" si="28">E49*$D58</f>
        <v>82.984156278898126</v>
      </c>
      <c r="F58" s="90">
        <f t="shared" si="28"/>
        <v>119.49718504161331</v>
      </c>
      <c r="G58" s="90">
        <f t="shared" si="28"/>
        <v>93.635999999999996</v>
      </c>
      <c r="H58" s="90">
        <f t="shared" si="28"/>
        <v>50.751219512195128</v>
      </c>
      <c r="I58" s="90">
        <f t="shared" si="28"/>
        <v>69.131707317073179</v>
      </c>
      <c r="K58" s="88">
        <f>IF($D$3="Classe B",1.3,1.5)</f>
        <v>1.5</v>
      </c>
      <c r="L58" s="90">
        <f t="shared" si="27"/>
        <v>179.24577756241996</v>
      </c>
    </row>
    <row r="59" spans="1:14" x14ac:dyDescent="0.35">
      <c r="A59" s="88">
        <v>3</v>
      </c>
      <c r="D59" s="89">
        <v>1.2</v>
      </c>
      <c r="E59" s="90">
        <f t="shared" ref="E59:I59" si="29">E50*$D59</f>
        <v>110.16274027491282</v>
      </c>
      <c r="F59" s="90">
        <f t="shared" si="29"/>
        <v>158.63434599587447</v>
      </c>
      <c r="G59" s="90">
        <f t="shared" si="29"/>
        <v>139.10400000000001</v>
      </c>
      <c r="H59" s="90">
        <f t="shared" si="29"/>
        <v>75.395121951219522</v>
      </c>
      <c r="I59" s="90">
        <f t="shared" si="29"/>
        <v>144.52682926829272</v>
      </c>
      <c r="J59" s="89"/>
      <c r="K59" s="88">
        <f>IF($D$3="Classe B",1.3,1.5)</f>
        <v>1.5</v>
      </c>
      <c r="L59" s="90">
        <f t="shared" si="27"/>
        <v>237.9515189938117</v>
      </c>
    </row>
    <row r="60" spans="1:14" x14ac:dyDescent="0.35">
      <c r="A60" s="88">
        <v>2</v>
      </c>
      <c r="D60" s="89">
        <v>1.2</v>
      </c>
      <c r="E60" s="90">
        <f t="shared" ref="E60:I60" si="30">E51*$D60</f>
        <v>128.64417739220281</v>
      </c>
      <c r="F60" s="90">
        <f t="shared" si="30"/>
        <v>185.24761544477204</v>
      </c>
      <c r="G60" s="90">
        <f t="shared" si="30"/>
        <v>171.93600000000001</v>
      </c>
      <c r="H60" s="90">
        <f t="shared" si="30"/>
        <v>93.190243902439022</v>
      </c>
      <c r="I60" s="90">
        <f t="shared" si="30"/>
        <v>237.71707317073174</v>
      </c>
      <c r="K60" s="88">
        <f>IF($D$3="Classe B",1.3,1.5)</f>
        <v>1.5</v>
      </c>
      <c r="L60" s="90">
        <f t="shared" si="27"/>
        <v>277.87142316715807</v>
      </c>
    </row>
    <row r="61" spans="1:14" x14ac:dyDescent="0.35">
      <c r="A61" s="88" t="s">
        <v>163</v>
      </c>
      <c r="D61" s="89">
        <v>1.2</v>
      </c>
      <c r="E61" s="90">
        <f t="shared" ref="E61:I61" si="31">E52*$D61</f>
        <v>136.60451999999998</v>
      </c>
      <c r="F61" s="90">
        <f t="shared" si="31"/>
        <v>177.03945792000002</v>
      </c>
      <c r="G61" s="90">
        <f t="shared" si="31"/>
        <v>181.11600000000001</v>
      </c>
      <c r="H61" s="90">
        <f t="shared" si="31"/>
        <v>98.165853658536591</v>
      </c>
      <c r="I61" s="90">
        <f t="shared" si="31"/>
        <v>335.88292682926834</v>
      </c>
      <c r="K61" s="88">
        <f>IF($D$3="Classe B",1.3,1.5)</f>
        <v>1.5</v>
      </c>
      <c r="L61" s="90">
        <f t="shared" si="27"/>
        <v>265.55918688000003</v>
      </c>
    </row>
    <row r="62" spans="1:14" x14ac:dyDescent="0.35">
      <c r="A62" s="88" t="s">
        <v>164</v>
      </c>
      <c r="D62" s="89">
        <v>1.2</v>
      </c>
      <c r="F62" s="90">
        <f t="shared" ref="F62" si="32">F53*$D62</f>
        <v>295.06576319999994</v>
      </c>
      <c r="I62" s="90"/>
      <c r="K62" s="88">
        <v>1</v>
      </c>
      <c r="L62" s="90">
        <f t="shared" si="27"/>
        <v>295.06576319999994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selection activeCell="O44" sqref="O44"/>
    </sheetView>
  </sheetViews>
  <sheetFormatPr defaultRowHeight="12.75" x14ac:dyDescent="0.35"/>
  <cols>
    <col min="1" max="16384" width="9.06640625" style="80"/>
  </cols>
  <sheetData>
    <row r="1" spans="1:9" ht="15" x14ac:dyDescent="0.4">
      <c r="A1" s="79" t="s">
        <v>170</v>
      </c>
    </row>
    <row r="2" spans="1:9" x14ac:dyDescent="0.35">
      <c r="A2" s="81" t="s">
        <v>171</v>
      </c>
    </row>
    <row r="4" spans="1:9" ht="13.15" x14ac:dyDescent="0.4">
      <c r="A4" s="83" t="s">
        <v>172</v>
      </c>
      <c r="C4" s="81" t="s">
        <v>173</v>
      </c>
    </row>
    <row r="6" spans="1:9" x14ac:dyDescent="0.35">
      <c r="A6" s="82" t="s">
        <v>182</v>
      </c>
      <c r="B6" s="88">
        <v>18</v>
      </c>
      <c r="C6" s="88">
        <v>19</v>
      </c>
      <c r="E6" s="82" t="s">
        <v>183</v>
      </c>
      <c r="F6" s="88">
        <v>1</v>
      </c>
      <c r="H6" s="82" t="s">
        <v>184</v>
      </c>
      <c r="I6" s="82" t="s">
        <v>188</v>
      </c>
    </row>
    <row r="7" spans="1:9" x14ac:dyDescent="0.35">
      <c r="A7" s="82" t="s">
        <v>174</v>
      </c>
      <c r="B7" s="82" t="s">
        <v>175</v>
      </c>
      <c r="C7" s="90">
        <v>162.5</v>
      </c>
      <c r="D7" s="81" t="s">
        <v>176</v>
      </c>
      <c r="E7" s="93" t="s">
        <v>189</v>
      </c>
    </row>
    <row r="8" spans="1:9" x14ac:dyDescent="0.35">
      <c r="A8" s="82" t="s">
        <v>178</v>
      </c>
      <c r="B8" s="82" t="s">
        <v>175</v>
      </c>
      <c r="C8" s="90">
        <v>60</v>
      </c>
      <c r="D8" s="81" t="s">
        <v>176</v>
      </c>
      <c r="E8" s="93" t="s">
        <v>190</v>
      </c>
    </row>
    <row r="9" spans="1:9" x14ac:dyDescent="0.35">
      <c r="A9" s="82" t="s">
        <v>180</v>
      </c>
      <c r="B9" s="82" t="s">
        <v>181</v>
      </c>
      <c r="C9" s="90">
        <f>C7+C8</f>
        <v>222.5</v>
      </c>
      <c r="D9" s="81" t="s">
        <v>176</v>
      </c>
    </row>
    <row r="11" spans="1:9" x14ac:dyDescent="0.35">
      <c r="A11" s="82" t="s">
        <v>182</v>
      </c>
      <c r="B11" s="88">
        <v>20</v>
      </c>
      <c r="C11" s="88">
        <v>27</v>
      </c>
      <c r="E11" s="82" t="s">
        <v>183</v>
      </c>
      <c r="F11" s="88">
        <v>1</v>
      </c>
      <c r="H11" s="82" t="s">
        <v>184</v>
      </c>
      <c r="I11" s="82" t="s">
        <v>185</v>
      </c>
    </row>
    <row r="12" spans="1:9" x14ac:dyDescent="0.35">
      <c r="A12" s="82" t="s">
        <v>174</v>
      </c>
      <c r="B12" s="82" t="s">
        <v>175</v>
      </c>
      <c r="C12" s="90">
        <v>181.1</v>
      </c>
      <c r="D12" s="81" t="s">
        <v>176</v>
      </c>
      <c r="E12" s="93" t="s">
        <v>177</v>
      </c>
    </row>
    <row r="13" spans="1:9" x14ac:dyDescent="0.35">
      <c r="A13" s="82" t="s">
        <v>178</v>
      </c>
      <c r="B13" s="82" t="s">
        <v>175</v>
      </c>
      <c r="C13" s="90">
        <v>30</v>
      </c>
      <c r="D13" s="81" t="s">
        <v>176</v>
      </c>
      <c r="E13" s="93" t="s">
        <v>179</v>
      </c>
    </row>
    <row r="14" spans="1:9" x14ac:dyDescent="0.35">
      <c r="A14" s="82" t="s">
        <v>180</v>
      </c>
      <c r="B14" s="82" t="s">
        <v>181</v>
      </c>
      <c r="C14" s="90">
        <f>C12+C13</f>
        <v>211.1</v>
      </c>
      <c r="D14" s="81" t="s">
        <v>176</v>
      </c>
    </row>
    <row r="16" spans="1:9" x14ac:dyDescent="0.35">
      <c r="A16" s="82" t="s">
        <v>182</v>
      </c>
      <c r="B16" s="88">
        <v>20</v>
      </c>
      <c r="C16" s="88">
        <v>27</v>
      </c>
      <c r="E16" s="82" t="s">
        <v>183</v>
      </c>
      <c r="F16" s="88">
        <v>2</v>
      </c>
      <c r="H16" s="82" t="s">
        <v>184</v>
      </c>
      <c r="I16" s="82" t="s">
        <v>185</v>
      </c>
    </row>
    <row r="17" spans="1:9" x14ac:dyDescent="0.35">
      <c r="A17" s="82" t="s">
        <v>174</v>
      </c>
      <c r="B17" s="82" t="s">
        <v>175</v>
      </c>
      <c r="C17" s="90">
        <v>171.9</v>
      </c>
      <c r="D17" s="81" t="s">
        <v>176</v>
      </c>
      <c r="E17" s="93" t="s">
        <v>177</v>
      </c>
    </row>
    <row r="18" spans="1:9" x14ac:dyDescent="0.35">
      <c r="A18" s="82" t="s">
        <v>178</v>
      </c>
      <c r="B18" s="82" t="s">
        <v>175</v>
      </c>
      <c r="C18" s="90">
        <v>60</v>
      </c>
      <c r="D18" s="81" t="s">
        <v>176</v>
      </c>
      <c r="E18" s="93" t="s">
        <v>186</v>
      </c>
    </row>
    <row r="19" spans="1:9" x14ac:dyDescent="0.35">
      <c r="A19" s="82" t="s">
        <v>180</v>
      </c>
      <c r="B19" s="82" t="s">
        <v>181</v>
      </c>
      <c r="C19" s="90">
        <f>C17+C18</f>
        <v>231.9</v>
      </c>
      <c r="D19" s="81" t="s">
        <v>176</v>
      </c>
      <c r="E19" s="94" t="s">
        <v>187</v>
      </c>
    </row>
    <row r="21" spans="1:9" x14ac:dyDescent="0.35">
      <c r="A21" s="82" t="s">
        <v>182</v>
      </c>
      <c r="B21" s="88">
        <v>20</v>
      </c>
      <c r="C21" s="88">
        <v>27</v>
      </c>
      <c r="E21" s="82" t="s">
        <v>183</v>
      </c>
      <c r="F21" s="88">
        <v>4</v>
      </c>
      <c r="H21" s="82" t="s">
        <v>184</v>
      </c>
      <c r="I21" s="82" t="s">
        <v>185</v>
      </c>
    </row>
    <row r="22" spans="1:9" x14ac:dyDescent="0.35">
      <c r="A22" s="82" t="s">
        <v>174</v>
      </c>
      <c r="B22" s="82" t="s">
        <v>175</v>
      </c>
      <c r="C22" s="90">
        <v>100.9</v>
      </c>
      <c r="D22" s="81" t="s">
        <v>176</v>
      </c>
      <c r="E22" s="93" t="s">
        <v>177</v>
      </c>
    </row>
    <row r="23" spans="1:9" x14ac:dyDescent="0.35">
      <c r="A23" s="82" t="s">
        <v>178</v>
      </c>
      <c r="B23" s="82" t="s">
        <v>175</v>
      </c>
      <c r="C23" s="90">
        <v>60</v>
      </c>
      <c r="D23" s="81" t="s">
        <v>176</v>
      </c>
      <c r="E23" s="93" t="s">
        <v>186</v>
      </c>
    </row>
    <row r="24" spans="1:9" x14ac:dyDescent="0.35">
      <c r="A24" s="82" t="s">
        <v>180</v>
      </c>
      <c r="B24" s="82" t="s">
        <v>181</v>
      </c>
      <c r="C24" s="90">
        <f>C22+C23</f>
        <v>160.9</v>
      </c>
      <c r="D24" s="81" t="s">
        <v>176</v>
      </c>
      <c r="E24" s="94" t="s">
        <v>191</v>
      </c>
    </row>
    <row r="27" spans="1:9" ht="13.15" x14ac:dyDescent="0.4">
      <c r="A27" s="95" t="s">
        <v>44</v>
      </c>
    </row>
    <row r="29" spans="1:9" x14ac:dyDescent="0.35">
      <c r="A29" s="82" t="s">
        <v>192</v>
      </c>
      <c r="B29" s="88">
        <v>2</v>
      </c>
      <c r="C29" s="88"/>
      <c r="E29" s="82" t="s">
        <v>193</v>
      </c>
      <c r="F29" s="82" t="s">
        <v>194</v>
      </c>
      <c r="H29" s="82" t="s">
        <v>184</v>
      </c>
      <c r="I29" s="82" t="s">
        <v>188</v>
      </c>
    </row>
    <row r="30" spans="1:9" x14ac:dyDescent="0.35">
      <c r="A30" s="82" t="s">
        <v>174</v>
      </c>
      <c r="B30" s="82" t="s">
        <v>181</v>
      </c>
      <c r="C30" s="90">
        <v>317.8</v>
      </c>
      <c r="D30" s="81" t="s">
        <v>176</v>
      </c>
      <c r="E30" s="93" t="s">
        <v>195</v>
      </c>
    </row>
    <row r="31" spans="1:9" ht="13.15" x14ac:dyDescent="0.4">
      <c r="A31" s="82"/>
      <c r="B31" s="82" t="s">
        <v>196</v>
      </c>
      <c r="C31" s="96">
        <v>0</v>
      </c>
      <c r="D31" s="81" t="s">
        <v>45</v>
      </c>
      <c r="E31" s="93" t="s">
        <v>197</v>
      </c>
    </row>
    <row r="32" spans="1:9" x14ac:dyDescent="0.35">
      <c r="A32" s="82" t="s">
        <v>178</v>
      </c>
      <c r="B32" s="82" t="s">
        <v>198</v>
      </c>
      <c r="C32" s="96">
        <v>550</v>
      </c>
      <c r="D32" s="81" t="s">
        <v>45</v>
      </c>
      <c r="E32" s="93" t="s">
        <v>199</v>
      </c>
    </row>
    <row r="33" spans="1:9" x14ac:dyDescent="0.35">
      <c r="A33" s="82"/>
      <c r="B33" s="82" t="s">
        <v>200</v>
      </c>
      <c r="C33" s="96">
        <f>C32-C31</f>
        <v>550</v>
      </c>
      <c r="D33" s="81" t="s">
        <v>45</v>
      </c>
      <c r="E33" s="93"/>
      <c r="F33" s="82" t="s">
        <v>201</v>
      </c>
      <c r="G33" s="96">
        <f>C32+C31</f>
        <v>550</v>
      </c>
      <c r="H33" s="81" t="s">
        <v>45</v>
      </c>
    </row>
    <row r="35" spans="1:9" x14ac:dyDescent="0.35">
      <c r="A35" s="82" t="s">
        <v>192</v>
      </c>
      <c r="B35" s="88">
        <v>3</v>
      </c>
      <c r="C35" s="88"/>
      <c r="E35" s="82" t="s">
        <v>193</v>
      </c>
      <c r="F35" s="82" t="s">
        <v>194</v>
      </c>
      <c r="H35" s="82" t="s">
        <v>184</v>
      </c>
      <c r="I35" s="82" t="s">
        <v>188</v>
      </c>
    </row>
    <row r="36" spans="1:9" x14ac:dyDescent="0.35">
      <c r="A36" s="82" t="s">
        <v>174</v>
      </c>
      <c r="B36" s="82" t="s">
        <v>181</v>
      </c>
      <c r="C36" s="90">
        <f>0.8*317.8</f>
        <v>254.24</v>
      </c>
      <c r="D36" s="81" t="s">
        <v>176</v>
      </c>
      <c r="E36" s="93" t="s">
        <v>202</v>
      </c>
    </row>
    <row r="37" spans="1:9" ht="13.15" x14ac:dyDescent="0.4">
      <c r="A37" s="82"/>
      <c r="B37" s="82" t="s">
        <v>196</v>
      </c>
      <c r="C37" s="96">
        <v>325</v>
      </c>
      <c r="D37" s="81" t="s">
        <v>45</v>
      </c>
      <c r="E37" s="93" t="s">
        <v>203</v>
      </c>
    </row>
    <row r="38" spans="1:9" x14ac:dyDescent="0.35">
      <c r="A38" s="82" t="s">
        <v>178</v>
      </c>
      <c r="B38" s="82" t="s">
        <v>198</v>
      </c>
      <c r="C38" s="96">
        <v>400</v>
      </c>
      <c r="D38" s="81" t="s">
        <v>45</v>
      </c>
      <c r="E38" s="93" t="s">
        <v>204</v>
      </c>
    </row>
    <row r="39" spans="1:9" x14ac:dyDescent="0.35">
      <c r="A39" s="82"/>
      <c r="B39" s="82" t="s">
        <v>200</v>
      </c>
      <c r="C39" s="96">
        <f>C38-C37</f>
        <v>75</v>
      </c>
      <c r="D39" s="81" t="s">
        <v>45</v>
      </c>
      <c r="E39" s="93"/>
      <c r="F39" s="82" t="s">
        <v>201</v>
      </c>
      <c r="G39" s="96">
        <f>C38+C37</f>
        <v>725</v>
      </c>
      <c r="H39" s="81" t="s">
        <v>45</v>
      </c>
    </row>
    <row r="41" spans="1:9" x14ac:dyDescent="0.35">
      <c r="A41" s="82" t="s">
        <v>192</v>
      </c>
      <c r="B41" s="88">
        <v>2</v>
      </c>
      <c r="C41" s="88"/>
      <c r="E41" s="82" t="s">
        <v>193</v>
      </c>
      <c r="F41" s="82">
        <v>2</v>
      </c>
      <c r="H41" s="82" t="s">
        <v>184</v>
      </c>
      <c r="I41" s="82" t="s">
        <v>188</v>
      </c>
    </row>
    <row r="42" spans="1:9" x14ac:dyDescent="0.35">
      <c r="A42" s="82" t="s">
        <v>174</v>
      </c>
      <c r="B42" s="82" t="s">
        <v>181</v>
      </c>
      <c r="C42" s="90">
        <v>299.2</v>
      </c>
      <c r="D42" s="81" t="s">
        <v>176</v>
      </c>
      <c r="E42" s="93" t="s">
        <v>195</v>
      </c>
    </row>
    <row r="43" spans="1:9" ht="13.15" x14ac:dyDescent="0.4">
      <c r="A43" s="82"/>
      <c r="B43" s="82" t="s">
        <v>196</v>
      </c>
      <c r="C43" s="96">
        <v>0</v>
      </c>
      <c r="D43" s="81" t="s">
        <v>45</v>
      </c>
      <c r="E43" s="93" t="s">
        <v>197</v>
      </c>
    </row>
    <row r="44" spans="1:9" x14ac:dyDescent="0.35">
      <c r="A44" s="82" t="s">
        <v>178</v>
      </c>
      <c r="B44" s="82" t="s">
        <v>198</v>
      </c>
      <c r="C44" s="96">
        <v>440</v>
      </c>
      <c r="D44" s="81" t="s">
        <v>45</v>
      </c>
      <c r="E44" s="93" t="s">
        <v>199</v>
      </c>
    </row>
    <row r="45" spans="1:9" x14ac:dyDescent="0.35">
      <c r="A45" s="82"/>
      <c r="B45" s="82" t="s">
        <v>200</v>
      </c>
      <c r="C45" s="96">
        <f>C44-C43</f>
        <v>440</v>
      </c>
      <c r="D45" s="81" t="s">
        <v>45</v>
      </c>
      <c r="E45" s="93"/>
      <c r="F45" s="82" t="s">
        <v>201</v>
      </c>
      <c r="G45" s="96">
        <f>C44+C43</f>
        <v>440</v>
      </c>
      <c r="H45" s="81" t="s">
        <v>45</v>
      </c>
    </row>
    <row r="47" spans="1:9" x14ac:dyDescent="0.35">
      <c r="A47" s="82" t="s">
        <v>192</v>
      </c>
      <c r="B47" s="88">
        <v>3</v>
      </c>
      <c r="C47" s="88"/>
      <c r="E47" s="82" t="s">
        <v>193</v>
      </c>
      <c r="F47" s="82">
        <v>2</v>
      </c>
      <c r="H47" s="82" t="s">
        <v>184</v>
      </c>
      <c r="I47" s="82" t="s">
        <v>188</v>
      </c>
    </row>
    <row r="48" spans="1:9" x14ac:dyDescent="0.35">
      <c r="A48" s="82" t="s">
        <v>174</v>
      </c>
      <c r="B48" s="82" t="s">
        <v>181</v>
      </c>
      <c r="C48" s="90">
        <f>0.8*299.2</f>
        <v>239.36</v>
      </c>
      <c r="D48" s="81" t="s">
        <v>176</v>
      </c>
      <c r="E48" s="93" t="s">
        <v>202</v>
      </c>
    </row>
    <row r="49" spans="1:8" ht="13.15" x14ac:dyDescent="0.4">
      <c r="A49" s="82"/>
      <c r="B49" s="82" t="s">
        <v>196</v>
      </c>
      <c r="C49" s="96">
        <v>256</v>
      </c>
      <c r="D49" s="81" t="s">
        <v>45</v>
      </c>
      <c r="E49" s="93" t="s">
        <v>203</v>
      </c>
    </row>
    <row r="50" spans="1:8" x14ac:dyDescent="0.35">
      <c r="A50" s="82" t="s">
        <v>178</v>
      </c>
      <c r="B50" s="82" t="s">
        <v>198</v>
      </c>
      <c r="C50" s="96">
        <v>320</v>
      </c>
      <c r="D50" s="81" t="s">
        <v>45</v>
      </c>
      <c r="E50" s="93" t="s">
        <v>204</v>
      </c>
    </row>
    <row r="51" spans="1:8" x14ac:dyDescent="0.35">
      <c r="A51" s="82"/>
      <c r="B51" s="82" t="s">
        <v>200</v>
      </c>
      <c r="C51" s="96">
        <f>C50-C49</f>
        <v>64</v>
      </c>
      <c r="D51" s="81" t="s">
        <v>45</v>
      </c>
      <c r="E51" s="93"/>
      <c r="F51" s="82" t="s">
        <v>201</v>
      </c>
      <c r="G51" s="96">
        <f>C50+C49</f>
        <v>576</v>
      </c>
      <c r="H51" s="81" t="s">
        <v>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Carichi unitari</vt:lpstr>
      <vt:lpstr>Carichi trave</vt:lpstr>
      <vt:lpstr>Carichi pilastri</vt:lpstr>
      <vt:lpstr>Masse</vt:lpstr>
      <vt:lpstr>Spettri di risposta</vt:lpstr>
      <vt:lpstr>Forze</vt:lpstr>
      <vt:lpstr>Car.Soll.</vt:lpstr>
      <vt:lpstr>Dimensionamento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2017-04-19T13:36:05Z</dcterms:created>
  <dcterms:modified xsi:type="dcterms:W3CDTF">2017-08-22T15:26:54Z</dcterms:modified>
</cp:coreProperties>
</file>