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piegazioni" sheetId="1" r:id="rId1"/>
    <sheet name="Es 1" sheetId="2" r:id="rId2"/>
    <sheet name="Es 2" sheetId="3" r:id="rId3"/>
    <sheet name="Es 3" sheetId="4" r:id="rId4"/>
    <sheet name="Es 4" sheetId="5" r:id="rId5"/>
    <sheet name="Es 5" sheetId="6" r:id="rId6"/>
    <sheet name="Es 6" sheetId="7" r:id="rId7"/>
    <sheet name="Fig-es 6" sheetId="8" r:id="rId8"/>
    <sheet name="Es 7" sheetId="9" r:id="rId9"/>
    <sheet name="Es 8" sheetId="10" r:id="rId10"/>
    <sheet name="Fig-es 8" sheetId="11" r:id="rId11"/>
  </sheets>
  <definedNames/>
  <calcPr fullCalcOnLoad="1"/>
</workbook>
</file>

<file path=xl/sharedStrings.xml><?xml version="1.0" encoding="utf-8"?>
<sst xmlns="http://schemas.openxmlformats.org/spreadsheetml/2006/main" count="164" uniqueCount="67">
  <si>
    <t>Questo foglio di lavoro è stato utilizzato per risolvere tutti gli esempi proposti</t>
  </si>
  <si>
    <t>Esempio 1</t>
  </si>
  <si>
    <t>Esempio 2</t>
  </si>
  <si>
    <t>Esempio 3</t>
  </si>
  <si>
    <t>Esempio 4</t>
  </si>
  <si>
    <t>nel capitolo relativo a calcestruzzo (versione 2005)</t>
  </si>
  <si>
    <r>
      <t>R</t>
    </r>
    <r>
      <rPr>
        <sz val="8"/>
        <rFont val="Arial"/>
        <family val="2"/>
      </rPr>
      <t>ck</t>
    </r>
  </si>
  <si>
    <r>
      <t>E</t>
    </r>
    <r>
      <rPr>
        <sz val="8"/>
        <rFont val="Arial"/>
        <family val="2"/>
      </rPr>
      <t>c</t>
    </r>
  </si>
  <si>
    <r>
      <t>f</t>
    </r>
    <r>
      <rPr>
        <sz val="8"/>
        <rFont val="Arial"/>
        <family val="2"/>
      </rPr>
      <t>ctm</t>
    </r>
  </si>
  <si>
    <r>
      <t>f</t>
    </r>
    <r>
      <rPr>
        <sz val="8"/>
        <rFont val="Arial"/>
        <family val="2"/>
      </rPr>
      <t>ctk</t>
    </r>
  </si>
  <si>
    <r>
      <t>f</t>
    </r>
    <r>
      <rPr>
        <sz val="8"/>
        <rFont val="Arial"/>
        <family val="2"/>
      </rPr>
      <t>cfk</t>
    </r>
  </si>
  <si>
    <t>MPa</t>
  </si>
  <si>
    <t>Modulo elastico e resistenza a trazione</t>
  </si>
  <si>
    <t>Tensioni ammissibili</t>
  </si>
  <si>
    <r>
      <t>s</t>
    </r>
    <r>
      <rPr>
        <sz val="8"/>
        <rFont val="Arial"/>
        <family val="2"/>
      </rPr>
      <t>c</t>
    </r>
  </si>
  <si>
    <r>
      <t>t</t>
    </r>
    <r>
      <rPr>
        <sz val="8"/>
        <rFont val="Arial"/>
        <family val="2"/>
      </rPr>
      <t>c0</t>
    </r>
  </si>
  <si>
    <r>
      <t>t</t>
    </r>
    <r>
      <rPr>
        <sz val="8"/>
        <rFont val="Arial"/>
        <family val="2"/>
      </rPr>
      <t>c1</t>
    </r>
  </si>
  <si>
    <r>
      <t xml:space="preserve">1.1 </t>
    </r>
    <r>
      <rPr>
        <sz val="10"/>
        <rFont val="Symbol"/>
        <family val="1"/>
      </rPr>
      <t>t</t>
    </r>
    <r>
      <rPr>
        <sz val="8"/>
        <rFont val="Arial"/>
        <family val="2"/>
      </rPr>
      <t>c1</t>
    </r>
  </si>
  <si>
    <r>
      <t>f</t>
    </r>
    <r>
      <rPr>
        <sz val="8"/>
        <rFont val="Arial"/>
        <family val="2"/>
      </rPr>
      <t>ck</t>
    </r>
  </si>
  <si>
    <r>
      <t>f</t>
    </r>
    <r>
      <rPr>
        <sz val="8"/>
        <rFont val="Arial"/>
        <family val="2"/>
      </rPr>
      <t>ctd</t>
    </r>
  </si>
  <si>
    <r>
      <t>f</t>
    </r>
    <r>
      <rPr>
        <sz val="8"/>
        <rFont val="Arial"/>
        <family val="2"/>
      </rPr>
      <t>cfd</t>
    </r>
  </si>
  <si>
    <r>
      <t>f</t>
    </r>
    <r>
      <rPr>
        <sz val="8"/>
        <rFont val="Arial"/>
        <family val="2"/>
      </rPr>
      <t>cd</t>
    </r>
  </si>
  <si>
    <r>
      <t>g</t>
    </r>
    <r>
      <rPr>
        <sz val="8"/>
        <rFont val="Arial"/>
        <family val="2"/>
      </rPr>
      <t>c</t>
    </r>
  </si>
  <si>
    <t>a</t>
  </si>
  <si>
    <r>
      <t>a</t>
    </r>
    <r>
      <rPr>
        <sz val="10"/>
        <rFont val="Arial"/>
        <family val="0"/>
      </rPr>
      <t xml:space="preserve"> f</t>
    </r>
    <r>
      <rPr>
        <sz val="8"/>
        <rFont val="Arial"/>
        <family val="2"/>
      </rPr>
      <t>cd</t>
    </r>
  </si>
  <si>
    <t>Valori di calcolo della resistenza a trazione e a compressione (c.a.p.)</t>
  </si>
  <si>
    <t>Valori di calcolo della resistenza a trazione e a compressione (cemento armato ordinario)</t>
  </si>
  <si>
    <t>Esempio 5</t>
  </si>
  <si>
    <t>Ritiro (D.M. 9/1/96)</t>
  </si>
  <si>
    <t>b</t>
  </si>
  <si>
    <t>h</t>
  </si>
  <si>
    <t>s</t>
  </si>
  <si>
    <t>cm</t>
  </si>
  <si>
    <t>Ac</t>
  </si>
  <si>
    <t>u</t>
  </si>
  <si>
    <t>cm2</t>
  </si>
  <si>
    <t>da 28 giorni (8-60)</t>
  </si>
  <si>
    <t>Esempio 6</t>
  </si>
  <si>
    <t>Ritiro (Appendice 1 dell'Eurocodice 2))</t>
  </si>
  <si>
    <t>Rck</t>
  </si>
  <si>
    <t>fck</t>
  </si>
  <si>
    <t>fcm</t>
  </si>
  <si>
    <t>RH</t>
  </si>
  <si>
    <t>%</t>
  </si>
  <si>
    <r>
      <t xml:space="preserve">e </t>
    </r>
    <r>
      <rPr>
        <sz val="8"/>
        <rFont val="Arial"/>
        <family val="2"/>
      </rPr>
      <t>CSO</t>
    </r>
  </si>
  <si>
    <r>
      <t xml:space="preserve">b </t>
    </r>
    <r>
      <rPr>
        <sz val="8"/>
        <rFont val="Arial"/>
        <family val="2"/>
      </rPr>
      <t>RH</t>
    </r>
  </si>
  <si>
    <r>
      <t xml:space="preserve">e </t>
    </r>
    <r>
      <rPr>
        <sz val="8"/>
        <rFont val="Arial"/>
        <family val="2"/>
      </rPr>
      <t>s</t>
    </r>
  </si>
  <si>
    <r>
      <t xml:space="preserve">b </t>
    </r>
    <r>
      <rPr>
        <sz val="8"/>
        <rFont val="Arial"/>
        <family val="2"/>
      </rPr>
      <t>SC</t>
    </r>
  </si>
  <si>
    <t>ovvero</t>
  </si>
  <si>
    <t>x10-3</t>
  </si>
  <si>
    <t>t</t>
  </si>
  <si>
    <r>
      <t xml:space="preserve">b </t>
    </r>
    <r>
      <rPr>
        <sz val="8"/>
        <rFont val="Arial"/>
        <family val="2"/>
      </rPr>
      <t>s</t>
    </r>
  </si>
  <si>
    <t>e</t>
  </si>
  <si>
    <t>mm</t>
  </si>
  <si>
    <t>h0</t>
  </si>
  <si>
    <t>Esempio 7</t>
  </si>
  <si>
    <t>Viscosità (D.M. 9/1/96)</t>
  </si>
  <si>
    <t>Esempio 8</t>
  </si>
  <si>
    <t>Viscosità (Appendice 1 dell'Eurocodice 2))</t>
  </si>
  <si>
    <r>
      <t xml:space="preserve">f </t>
    </r>
    <r>
      <rPr>
        <sz val="8"/>
        <rFont val="Arial"/>
        <family val="2"/>
      </rPr>
      <t>RH</t>
    </r>
  </si>
  <si>
    <r>
      <t xml:space="preserve">b </t>
    </r>
    <r>
      <rPr>
        <sz val="8"/>
        <rFont val="Arial"/>
        <family val="2"/>
      </rPr>
      <t>t0</t>
    </r>
  </si>
  <si>
    <r>
      <t xml:space="preserve">b </t>
    </r>
    <r>
      <rPr>
        <sz val="8"/>
        <rFont val="Arial"/>
        <family val="2"/>
      </rPr>
      <t>fcm</t>
    </r>
  </si>
  <si>
    <t>giorni</t>
  </si>
  <si>
    <r>
      <t xml:space="preserve">f </t>
    </r>
    <r>
      <rPr>
        <sz val="8"/>
        <rFont val="Arial"/>
        <family val="2"/>
      </rPr>
      <t>0</t>
    </r>
  </si>
  <si>
    <r>
      <t xml:space="preserve">b </t>
    </r>
    <r>
      <rPr>
        <sz val="8"/>
        <rFont val="Arial"/>
        <family val="2"/>
      </rPr>
      <t>c</t>
    </r>
  </si>
  <si>
    <r>
      <t xml:space="preserve">b </t>
    </r>
    <r>
      <rPr>
        <sz val="8"/>
        <rFont val="Arial"/>
        <family val="2"/>
      </rPr>
      <t>H</t>
    </r>
  </si>
  <si>
    <t>f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</si>
</sst>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16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chartsheet" Target="chartsheets/sheet2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 6'!$A$17:$A$52</c:f>
              <c:numCach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10</c:v>
                </c:pt>
                <c:pt idx="9">
                  <c:v>14</c:v>
                </c:pt>
                <c:pt idx="10">
                  <c:v>21</c:v>
                </c:pt>
                <c:pt idx="11">
                  <c:v>28</c:v>
                </c:pt>
                <c:pt idx="12">
                  <c:v>35</c:v>
                </c:pt>
                <c:pt idx="13">
                  <c:v>45</c:v>
                </c:pt>
                <c:pt idx="14">
                  <c:v>60</c:v>
                </c:pt>
                <c:pt idx="15">
                  <c:v>75</c:v>
                </c:pt>
                <c:pt idx="16">
                  <c:v>90</c:v>
                </c:pt>
                <c:pt idx="17">
                  <c:v>105</c:v>
                </c:pt>
                <c:pt idx="18">
                  <c:v>120</c:v>
                </c:pt>
                <c:pt idx="19">
                  <c:v>150</c:v>
                </c:pt>
                <c:pt idx="20">
                  <c:v>180</c:v>
                </c:pt>
                <c:pt idx="21">
                  <c:v>240</c:v>
                </c:pt>
                <c:pt idx="22">
                  <c:v>270</c:v>
                </c:pt>
                <c:pt idx="23">
                  <c:v>300</c:v>
                </c:pt>
                <c:pt idx="24">
                  <c:v>330</c:v>
                </c:pt>
                <c:pt idx="25">
                  <c:v>365</c:v>
                </c:pt>
                <c:pt idx="26">
                  <c:v>547</c:v>
                </c:pt>
                <c:pt idx="27">
                  <c:v>730</c:v>
                </c:pt>
                <c:pt idx="28">
                  <c:v>1095</c:v>
                </c:pt>
                <c:pt idx="29">
                  <c:v>1460</c:v>
                </c:pt>
                <c:pt idx="30">
                  <c:v>1825</c:v>
                </c:pt>
                <c:pt idx="31">
                  <c:v>2190</c:v>
                </c:pt>
                <c:pt idx="32">
                  <c:v>2555</c:v>
                </c:pt>
                <c:pt idx="33">
                  <c:v>2920</c:v>
                </c:pt>
                <c:pt idx="34">
                  <c:v>3285</c:v>
                </c:pt>
                <c:pt idx="35">
                  <c:v>3650</c:v>
                </c:pt>
              </c:numCache>
            </c:numRef>
          </c:xVal>
          <c:yVal>
            <c:numRef>
              <c:f>'Es 6'!$C$17:$C$52</c:f>
              <c:numCache>
                <c:ptCount val="36"/>
                <c:pt idx="0">
                  <c:v>0</c:v>
                </c:pt>
                <c:pt idx="1">
                  <c:v>0.011102495807193783</c:v>
                </c:pt>
                <c:pt idx="2">
                  <c:v>0.01569828652598281</c:v>
                </c:pt>
                <c:pt idx="3">
                  <c:v>0.019222707120213057</c:v>
                </c:pt>
                <c:pt idx="4">
                  <c:v>0.022192213261294166</c:v>
                </c:pt>
                <c:pt idx="5">
                  <c:v>0.024806891978923558</c:v>
                </c:pt>
                <c:pt idx="6">
                  <c:v>0.02716938089296498</c:v>
                </c:pt>
                <c:pt idx="7">
                  <c:v>0.02934066364361176</c:v>
                </c:pt>
                <c:pt idx="8">
                  <c:v>0.03504866583546443</c:v>
                </c:pt>
                <c:pt idx="9">
                  <c:v>0.04143843937518723</c:v>
                </c:pt>
                <c:pt idx="10">
                  <c:v>0.050683784317881155</c:v>
                </c:pt>
                <c:pt idx="11">
                  <c:v>0.05844669540788815</c:v>
                </c:pt>
                <c:pt idx="12">
                  <c:v>0.06525864663913826</c:v>
                </c:pt>
                <c:pt idx="13">
                  <c:v>0.07385651275586208</c:v>
                </c:pt>
                <c:pt idx="14">
                  <c:v>0.08504165719652865</c:v>
                </c:pt>
                <c:pt idx="15">
                  <c:v>0.09481284047050725</c:v>
                </c:pt>
                <c:pt idx="16">
                  <c:v>0.10357263574216198</c:v>
                </c:pt>
                <c:pt idx="17">
                  <c:v>0.11156100205439752</c:v>
                </c:pt>
                <c:pt idx="18">
                  <c:v>0.11893482130022441</c:v>
                </c:pt>
                <c:pt idx="19">
                  <c:v>0.13224675110311626</c:v>
                </c:pt>
                <c:pt idx="20">
                  <c:v>0.14408620307304562</c:v>
                </c:pt>
                <c:pt idx="21">
                  <c:v>0.16461160226476657</c:v>
                </c:pt>
                <c:pt idx="22">
                  <c:v>0.17368310082125013</c:v>
                </c:pt>
                <c:pt idx="23">
                  <c:v>0.18212972980060343</c:v>
                </c:pt>
                <c:pt idx="24">
                  <c:v>0.1900399494511636</c:v>
                </c:pt>
                <c:pt idx="25">
                  <c:v>0.19868208945959534</c:v>
                </c:pt>
                <c:pt idx="26">
                  <c:v>0.23609343639356156</c:v>
                </c:pt>
                <c:pt idx="27">
                  <c:v>0.2651492833906626</c:v>
                </c:pt>
                <c:pt idx="28">
                  <c:v>0.308299099939159</c:v>
                </c:pt>
                <c:pt idx="29">
                  <c:v>0.3396278378584154</c:v>
                </c:pt>
                <c:pt idx="30">
                  <c:v>0.36373009740880896</c:v>
                </c:pt>
                <c:pt idx="31">
                  <c:v>0.3829755913387525</c:v>
                </c:pt>
                <c:pt idx="32">
                  <c:v>0.39875718007864486</c:v>
                </c:pt>
                <c:pt idx="33">
                  <c:v>0.41196326132056665</c:v>
                </c:pt>
                <c:pt idx="34">
                  <c:v>0.42319362320070464</c:v>
                </c:pt>
                <c:pt idx="35">
                  <c:v>0.432870714369946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 6'!$F$17:$F$18</c:f>
              <c:numCache>
                <c:ptCount val="2"/>
                <c:pt idx="0">
                  <c:v>0</c:v>
                </c:pt>
                <c:pt idx="1">
                  <c:v>36500</c:v>
                </c:pt>
              </c:numCache>
            </c:numRef>
          </c:xVal>
          <c:yVal>
            <c:numRef>
              <c:f>'Es 6'!$G$17:$G$18</c:f>
              <c:numCache>
                <c:ptCount val="2"/>
                <c:pt idx="0">
                  <c:v>0.5665870000000001</c:v>
                </c:pt>
                <c:pt idx="1">
                  <c:v>0.5665870000000001</c:v>
                </c:pt>
              </c:numCache>
            </c:numRef>
          </c:yVal>
          <c:smooth val="0"/>
        </c:ser>
        <c:axId val="33335857"/>
        <c:axId val="31587258"/>
      </c:scatterChart>
      <c:valAx>
        <c:axId val="33335857"/>
        <c:scaling>
          <c:orientation val="minMax"/>
          <c:max val="3650"/>
        </c:scaling>
        <c:axPos val="b"/>
        <c:delete val="0"/>
        <c:numFmt formatCode="General" sourceLinked="1"/>
        <c:majorTickMark val="out"/>
        <c:minorTickMark val="none"/>
        <c:tickLblPos val="nextTo"/>
        <c:crossAx val="31587258"/>
        <c:crosses val="autoZero"/>
        <c:crossBetween val="midCat"/>
        <c:dispUnits/>
        <c:majorUnit val="365"/>
      </c:valAx>
      <c:valAx>
        <c:axId val="315872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33585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 8'!$A$17:$A$48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10</c:v>
                </c:pt>
                <c:pt idx="9">
                  <c:v>14</c:v>
                </c:pt>
                <c:pt idx="10">
                  <c:v>21</c:v>
                </c:pt>
                <c:pt idx="11">
                  <c:v>28</c:v>
                </c:pt>
                <c:pt idx="12">
                  <c:v>35</c:v>
                </c:pt>
                <c:pt idx="13">
                  <c:v>45</c:v>
                </c:pt>
                <c:pt idx="14">
                  <c:v>60</c:v>
                </c:pt>
                <c:pt idx="15">
                  <c:v>75</c:v>
                </c:pt>
                <c:pt idx="16">
                  <c:v>90</c:v>
                </c:pt>
                <c:pt idx="17">
                  <c:v>105</c:v>
                </c:pt>
                <c:pt idx="18">
                  <c:v>120</c:v>
                </c:pt>
                <c:pt idx="19">
                  <c:v>150</c:v>
                </c:pt>
                <c:pt idx="20">
                  <c:v>180</c:v>
                </c:pt>
                <c:pt idx="21">
                  <c:v>240</c:v>
                </c:pt>
                <c:pt idx="22">
                  <c:v>270</c:v>
                </c:pt>
                <c:pt idx="23">
                  <c:v>300</c:v>
                </c:pt>
                <c:pt idx="24">
                  <c:v>330</c:v>
                </c:pt>
                <c:pt idx="25">
                  <c:v>365</c:v>
                </c:pt>
                <c:pt idx="26">
                  <c:v>547</c:v>
                </c:pt>
                <c:pt idx="27">
                  <c:v>730</c:v>
                </c:pt>
                <c:pt idx="28">
                  <c:v>1095</c:v>
                </c:pt>
                <c:pt idx="29">
                  <c:v>1460</c:v>
                </c:pt>
                <c:pt idx="30">
                  <c:v>1825</c:v>
                </c:pt>
                <c:pt idx="31">
                  <c:v>3650</c:v>
                </c:pt>
              </c:numCache>
            </c:numRef>
          </c:xVal>
          <c:yVal>
            <c:numRef>
              <c:f>'Es 8'!$C$17:$C$48</c:f>
              <c:numCache>
                <c:ptCount val="32"/>
                <c:pt idx="0">
                  <c:v>1</c:v>
                </c:pt>
                <c:pt idx="1">
                  <c:v>1.3526707378376863</c:v>
                </c:pt>
                <c:pt idx="2">
                  <c:v>1.433991800920457</c:v>
                </c:pt>
                <c:pt idx="3">
                  <c:v>1.48990548210185</c:v>
                </c:pt>
                <c:pt idx="4">
                  <c:v>1.5338234076636397</c:v>
                </c:pt>
                <c:pt idx="5">
                  <c:v>1.5705249026260795</c:v>
                </c:pt>
                <c:pt idx="6">
                  <c:v>1.602328290892141</c:v>
                </c:pt>
                <c:pt idx="7">
                  <c:v>1.6305534051912307</c:v>
                </c:pt>
                <c:pt idx="8">
                  <c:v>1.7008223524098092</c:v>
                </c:pt>
                <c:pt idx="9">
                  <c:v>1.773875423851773</c:v>
                </c:pt>
                <c:pt idx="10">
                  <c:v>1.871269797242848</c:v>
                </c:pt>
                <c:pt idx="11">
                  <c:v>1.9468959649973847</c:v>
                </c:pt>
                <c:pt idx="12">
                  <c:v>2.009384742028608</c:v>
                </c:pt>
                <c:pt idx="13">
                  <c:v>2.083775443700071</c:v>
                </c:pt>
                <c:pt idx="14">
                  <c:v>2.1740285874307217</c:v>
                </c:pt>
                <c:pt idx="15">
                  <c:v>2.247572952402206</c:v>
                </c:pt>
                <c:pt idx="16">
                  <c:v>2.3097513220313264</c:v>
                </c:pt>
                <c:pt idx="17">
                  <c:v>2.3636204379738674</c:v>
                </c:pt>
                <c:pt idx="18">
                  <c:v>2.411112960907405</c:v>
                </c:pt>
                <c:pt idx="19">
                  <c:v>2.4918284273330453</c:v>
                </c:pt>
                <c:pt idx="20">
                  <c:v>2.5586051388855244</c:v>
                </c:pt>
                <c:pt idx="21">
                  <c:v>2.6642968635883975</c:v>
                </c:pt>
                <c:pt idx="22">
                  <c:v>2.7072823070786285</c:v>
                </c:pt>
                <c:pt idx="23">
                  <c:v>2.7454080069146736</c:v>
                </c:pt>
                <c:pt idx="24">
                  <c:v>2.779534414149827</c:v>
                </c:pt>
                <c:pt idx="25">
                  <c:v>2.8151576593695147</c:v>
                </c:pt>
                <c:pt idx="26">
                  <c:v>2.951333253303951</c:v>
                </c:pt>
                <c:pt idx="27">
                  <c:v>3.0395889310509214</c:v>
                </c:pt>
                <c:pt idx="28">
                  <c:v>3.1478065797203554</c:v>
                </c:pt>
                <c:pt idx="29">
                  <c:v>3.2123899939560823</c:v>
                </c:pt>
                <c:pt idx="30">
                  <c:v>3.255481702858842</c:v>
                </c:pt>
                <c:pt idx="31">
                  <c:v>3.3540052003334395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 8'!$E$17:$E$18</c:f>
              <c:numCache>
                <c:ptCount val="2"/>
                <c:pt idx="0">
                  <c:v>0</c:v>
                </c:pt>
                <c:pt idx="1">
                  <c:v>730</c:v>
                </c:pt>
              </c:numCache>
            </c:numRef>
          </c:xVal>
          <c:yVal>
            <c:numRef>
              <c:f>'Es 8'!$F$17:$F$18</c:f>
              <c:numCache>
                <c:ptCount val="2"/>
                <c:pt idx="0">
                  <c:v>3.474393098922696</c:v>
                </c:pt>
                <c:pt idx="1">
                  <c:v>3.474393098922696</c:v>
                </c:pt>
              </c:numCache>
            </c:numRef>
          </c:yVal>
          <c:smooth val="0"/>
        </c:ser>
        <c:axId val="15849867"/>
        <c:axId val="8431076"/>
      </c:scatterChart>
      <c:valAx>
        <c:axId val="15849867"/>
        <c:scaling>
          <c:orientation val="minMax"/>
          <c:max val="730"/>
        </c:scaling>
        <c:axPos val="b"/>
        <c:delete val="0"/>
        <c:numFmt formatCode="General" sourceLinked="1"/>
        <c:majorTickMark val="out"/>
        <c:minorTickMark val="none"/>
        <c:tickLblPos val="nextTo"/>
        <c:crossAx val="8431076"/>
        <c:crosses val="autoZero"/>
        <c:crossBetween val="midCat"/>
        <c:dispUnits/>
        <c:majorUnit val="365"/>
      </c:valAx>
      <c:valAx>
        <c:axId val="8431076"/>
        <c:scaling>
          <c:orientation val="minMax"/>
          <c:max val="3.5"/>
        </c:scaling>
        <c:axPos val="l"/>
        <c:delete val="0"/>
        <c:numFmt formatCode="0.0" sourceLinked="0"/>
        <c:majorTickMark val="out"/>
        <c:minorTickMark val="none"/>
        <c:tickLblPos val="nextTo"/>
        <c:crossAx val="158498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3"/>
  <sheetViews>
    <sheetView tabSelected="1" workbookViewId="0" topLeftCell="A1">
      <selection activeCell="A1" sqref="A1"/>
    </sheetView>
  </sheetViews>
  <sheetFormatPr defaultColWidth="9.140625" defaultRowHeight="12.75"/>
  <sheetData>
    <row r="2" ht="12.75">
      <c r="A2" t="s">
        <v>0</v>
      </c>
    </row>
    <row r="3" ht="12.75">
      <c r="A3" t="s"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1</v>
      </c>
    </row>
    <row r="2" ht="12.75">
      <c r="A2" s="1" t="s">
        <v>12</v>
      </c>
    </row>
    <row r="4" spans="1:5" ht="12.75">
      <c r="A4" s="2" t="s">
        <v>6</v>
      </c>
      <c r="B4" s="2">
        <v>25</v>
      </c>
      <c r="C4" s="2">
        <v>30</v>
      </c>
      <c r="D4" s="2">
        <v>35</v>
      </c>
      <c r="E4" t="s">
        <v>11</v>
      </c>
    </row>
    <row r="5" spans="1:5" ht="12.75">
      <c r="A5" s="2" t="s">
        <v>7</v>
      </c>
      <c r="B5" s="5">
        <f>5700*SQRT(B4)</f>
        <v>28500</v>
      </c>
      <c r="C5" s="5">
        <f>5700*SQRT(C4)</f>
        <v>31220.185777794468</v>
      </c>
      <c r="D5" s="5">
        <f>5700*SQRT(D4)</f>
        <v>33721.654763667815</v>
      </c>
      <c r="E5" t="s">
        <v>11</v>
      </c>
    </row>
    <row r="6" spans="1:5" ht="12.75">
      <c r="A6" s="2" t="s">
        <v>8</v>
      </c>
      <c r="B6" s="3">
        <f>0.27*B4^(2/3)</f>
        <v>2.30846752801354</v>
      </c>
      <c r="C6" s="3">
        <f>0.27*C4^(2/3)</f>
        <v>2.6068213384352004</v>
      </c>
      <c r="D6" s="3">
        <f>0.27*D4^(2/3)</f>
        <v>2.8889661975257135</v>
      </c>
      <c r="E6" t="s">
        <v>11</v>
      </c>
    </row>
    <row r="7" spans="1:5" ht="12.75">
      <c r="A7" s="2" t="s">
        <v>9</v>
      </c>
      <c r="B7" s="3">
        <f>0.7*B6</f>
        <v>1.6159272696094777</v>
      </c>
      <c r="C7" s="3">
        <f>0.7*C6</f>
        <v>1.8247749369046402</v>
      </c>
      <c r="D7" s="3">
        <f>0.7*D6</f>
        <v>2.022276338267999</v>
      </c>
      <c r="E7" t="s">
        <v>11</v>
      </c>
    </row>
    <row r="8" spans="1:5" ht="12.75">
      <c r="A8" s="2" t="s">
        <v>10</v>
      </c>
      <c r="B8" s="3">
        <f>1.2*B7</f>
        <v>1.9391127235313732</v>
      </c>
      <c r="C8" s="3">
        <f>1.2*C7</f>
        <v>2.1897299242855683</v>
      </c>
      <c r="D8" s="3">
        <f>1.2*D7</f>
        <v>2.426731605921599</v>
      </c>
      <c r="E8" t="s">
        <v>11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2</v>
      </c>
    </row>
    <row r="2" ht="12.75">
      <c r="A2" s="1" t="s">
        <v>13</v>
      </c>
    </row>
    <row r="4" spans="1:5" ht="12.75">
      <c r="A4" s="2" t="s">
        <v>6</v>
      </c>
      <c r="B4" s="2">
        <v>25</v>
      </c>
      <c r="C4" s="2">
        <v>30</v>
      </c>
      <c r="D4" s="2">
        <v>35</v>
      </c>
      <c r="E4" t="s">
        <v>11</v>
      </c>
    </row>
    <row r="5" spans="1:5" ht="12.75">
      <c r="A5" s="4" t="s">
        <v>14</v>
      </c>
      <c r="B5" s="3">
        <f>6+(B4-15)/4</f>
        <v>8.5</v>
      </c>
      <c r="C5" s="3">
        <f>6+(C4-15)/4</f>
        <v>9.75</v>
      </c>
      <c r="D5" s="3">
        <f>6+(D4-15)/4</f>
        <v>11</v>
      </c>
      <c r="E5" t="s">
        <v>11</v>
      </c>
    </row>
    <row r="6" spans="1:5" ht="12.75">
      <c r="A6" s="4" t="s">
        <v>15</v>
      </c>
      <c r="B6" s="3">
        <f>0.4+(B4-15)/75</f>
        <v>0.5333333333333333</v>
      </c>
      <c r="C6" s="3">
        <f>0.4+(C4-15)/75</f>
        <v>0.6000000000000001</v>
      </c>
      <c r="D6" s="3">
        <f>0.4+(D4-15)/75</f>
        <v>0.6666666666666667</v>
      </c>
      <c r="E6" t="s">
        <v>11</v>
      </c>
    </row>
    <row r="7" spans="1:5" ht="12.75">
      <c r="A7" s="4" t="s">
        <v>16</v>
      </c>
      <c r="B7" s="3">
        <f>1.4+(B4-15)/35</f>
        <v>1.6857142857142855</v>
      </c>
      <c r="C7" s="3">
        <f>1.4+(C4-15)/35</f>
        <v>1.8285714285714285</v>
      </c>
      <c r="D7" s="3">
        <f>1.4+(D4-15)/35</f>
        <v>1.9714285714285713</v>
      </c>
      <c r="E7" t="s">
        <v>11</v>
      </c>
    </row>
    <row r="8" spans="1:5" ht="12.75">
      <c r="A8" s="2" t="s">
        <v>17</v>
      </c>
      <c r="B8" s="3">
        <f>1.1*B7</f>
        <v>1.854285714285714</v>
      </c>
      <c r="C8" s="3">
        <f>1.1*C7</f>
        <v>2.0114285714285716</v>
      </c>
      <c r="D8" s="3">
        <f>1.1*D7</f>
        <v>2.1685714285714286</v>
      </c>
      <c r="E8" t="s">
        <v>11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3</v>
      </c>
    </row>
    <row r="2" ht="12.75">
      <c r="A2" s="1" t="s">
        <v>26</v>
      </c>
    </row>
    <row r="4" spans="1:8" ht="12.75">
      <c r="A4" s="2" t="s">
        <v>6</v>
      </c>
      <c r="B4" s="2">
        <v>25</v>
      </c>
      <c r="C4" s="2">
        <v>30</v>
      </c>
      <c r="D4" s="2">
        <v>35</v>
      </c>
      <c r="E4" t="s">
        <v>11</v>
      </c>
      <c r="G4" s="4" t="s">
        <v>22</v>
      </c>
      <c r="H4" s="2">
        <v>1.6</v>
      </c>
    </row>
    <row r="5" spans="1:8" ht="12.75">
      <c r="A5" s="2" t="s">
        <v>9</v>
      </c>
      <c r="B5" s="3">
        <f>0.7*0.27*B4^(2/3)</f>
        <v>1.615927269609478</v>
      </c>
      <c r="C5" s="3">
        <f>0.7*0.27*C4^(2/3)</f>
        <v>1.82477493690464</v>
      </c>
      <c r="D5" s="3">
        <f>0.7*0.27*D4^(2/3)</f>
        <v>2.022276338267999</v>
      </c>
      <c r="E5" t="s">
        <v>11</v>
      </c>
      <c r="G5" s="4" t="s">
        <v>23</v>
      </c>
      <c r="H5" s="2">
        <v>0.85</v>
      </c>
    </row>
    <row r="6" spans="1:5" ht="12.75">
      <c r="A6" s="2" t="s">
        <v>10</v>
      </c>
      <c r="B6" s="3">
        <f>1.2*B5</f>
        <v>1.9391127235313734</v>
      </c>
      <c r="C6" s="3">
        <f>1.2*C5</f>
        <v>2.189729924285568</v>
      </c>
      <c r="D6" s="3">
        <f>1.2*D5</f>
        <v>2.426731605921599</v>
      </c>
      <c r="E6" t="s">
        <v>11</v>
      </c>
    </row>
    <row r="7" spans="1:5" ht="12.75">
      <c r="A7" s="2" t="s">
        <v>19</v>
      </c>
      <c r="B7" s="3">
        <f aca="true" t="shared" si="0" ref="B7:D8">B5/$H$4</f>
        <v>1.0099545435059236</v>
      </c>
      <c r="C7" s="3">
        <f t="shared" si="0"/>
        <v>1.1404843355654</v>
      </c>
      <c r="D7" s="3">
        <f t="shared" si="0"/>
        <v>1.2639227114174993</v>
      </c>
      <c r="E7" t="s">
        <v>11</v>
      </c>
    </row>
    <row r="8" spans="1:5" ht="12.75">
      <c r="A8" s="2" t="s">
        <v>20</v>
      </c>
      <c r="B8" s="3">
        <f t="shared" si="0"/>
        <v>1.2119454522071083</v>
      </c>
      <c r="C8" s="3">
        <f t="shared" si="0"/>
        <v>1.3685812026784798</v>
      </c>
      <c r="D8" s="3">
        <f t="shared" si="0"/>
        <v>1.5167072537009991</v>
      </c>
      <c r="E8" t="s">
        <v>11</v>
      </c>
    </row>
    <row r="9" spans="1:5" ht="12.75">
      <c r="A9" s="2" t="s">
        <v>18</v>
      </c>
      <c r="B9" s="3">
        <f>0.83*B4</f>
        <v>20.75</v>
      </c>
      <c r="C9" s="3">
        <f>0.83*C4</f>
        <v>24.9</v>
      </c>
      <c r="D9" s="3">
        <f>0.83*D4</f>
        <v>29.049999999999997</v>
      </c>
      <c r="E9" t="s">
        <v>11</v>
      </c>
    </row>
    <row r="10" spans="1:5" ht="12.75">
      <c r="A10" s="2" t="s">
        <v>21</v>
      </c>
      <c r="B10" s="3">
        <f>B9/$H$4</f>
        <v>12.96875</v>
      </c>
      <c r="C10" s="3">
        <f>C9/$H$4</f>
        <v>15.562499999999998</v>
      </c>
      <c r="D10" s="3">
        <f>D9/$H$4</f>
        <v>18.156249999999996</v>
      </c>
      <c r="E10" t="s">
        <v>11</v>
      </c>
    </row>
    <row r="11" spans="1:5" ht="12.75">
      <c r="A11" s="4" t="s">
        <v>24</v>
      </c>
      <c r="B11" s="3">
        <f>$H$5*B10</f>
        <v>11.0234375</v>
      </c>
      <c r="C11" s="3">
        <f>$H$5*C10</f>
        <v>13.228124999999999</v>
      </c>
      <c r="D11" s="3">
        <f>$H$5*D10</f>
        <v>15.432812499999997</v>
      </c>
      <c r="E11" t="s">
        <v>11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4</v>
      </c>
    </row>
    <row r="2" ht="12.75">
      <c r="A2" s="1" t="s">
        <v>25</v>
      </c>
    </row>
    <row r="4" spans="1:8" ht="12.75">
      <c r="A4" s="2" t="s">
        <v>6</v>
      </c>
      <c r="B4" s="2">
        <v>30</v>
      </c>
      <c r="C4" s="2">
        <v>35</v>
      </c>
      <c r="D4" s="2">
        <v>40</v>
      </c>
      <c r="E4" t="s">
        <v>11</v>
      </c>
      <c r="G4" s="4" t="s">
        <v>22</v>
      </c>
      <c r="H4" s="2">
        <v>1.5</v>
      </c>
    </row>
    <row r="5" spans="1:8" ht="12.75">
      <c r="A5" s="2" t="s">
        <v>9</v>
      </c>
      <c r="B5" s="3">
        <f>0.7*0.27*B4^(2/3)</f>
        <v>1.82477493690464</v>
      </c>
      <c r="C5" s="3">
        <f>0.7*0.27*C4^(2/3)</f>
        <v>2.022276338267999</v>
      </c>
      <c r="D5" s="3">
        <f>0.7*0.27*D4^(2/3)</f>
        <v>2.210557410088927</v>
      </c>
      <c r="E5" t="s">
        <v>11</v>
      </c>
      <c r="G5" s="4" t="s">
        <v>23</v>
      </c>
      <c r="H5" s="2">
        <v>0.85</v>
      </c>
    </row>
    <row r="6" spans="1:5" ht="12.75">
      <c r="A6" s="2" t="s">
        <v>10</v>
      </c>
      <c r="B6" s="3">
        <f>1.2*B5</f>
        <v>2.189729924285568</v>
      </c>
      <c r="C6" s="3">
        <f>1.2*C5</f>
        <v>2.426731605921599</v>
      </c>
      <c r="D6" s="3">
        <f>1.2*D5</f>
        <v>2.6526688921067123</v>
      </c>
      <c r="E6" t="s">
        <v>11</v>
      </c>
    </row>
    <row r="7" spans="1:5" ht="12.75">
      <c r="A7" s="2" t="s">
        <v>19</v>
      </c>
      <c r="B7" s="3">
        <f aca="true" t="shared" si="0" ref="B7:D8">B5/$H$4</f>
        <v>1.2165166246030934</v>
      </c>
      <c r="C7" s="3">
        <f t="shared" si="0"/>
        <v>1.3481842255119993</v>
      </c>
      <c r="D7" s="3">
        <f t="shared" si="0"/>
        <v>1.4737049400592845</v>
      </c>
      <c r="E7" t="s">
        <v>11</v>
      </c>
    </row>
    <row r="8" spans="1:5" ht="12.75">
      <c r="A8" s="2" t="s">
        <v>20</v>
      </c>
      <c r="B8" s="3">
        <f t="shared" si="0"/>
        <v>1.4598199495237119</v>
      </c>
      <c r="C8" s="3">
        <f t="shared" si="0"/>
        <v>1.6178210706143992</v>
      </c>
      <c r="D8" s="3">
        <f t="shared" si="0"/>
        <v>1.7684459280711415</v>
      </c>
      <c r="E8" t="s">
        <v>11</v>
      </c>
    </row>
    <row r="9" spans="1:5" ht="12.75">
      <c r="A9" s="2" t="s">
        <v>18</v>
      </c>
      <c r="B9" s="3">
        <f>0.83*B4</f>
        <v>24.9</v>
      </c>
      <c r="C9" s="3">
        <f>0.83*C4</f>
        <v>29.049999999999997</v>
      </c>
      <c r="D9" s="3">
        <f>0.83*D4</f>
        <v>33.199999999999996</v>
      </c>
      <c r="E9" t="s">
        <v>11</v>
      </c>
    </row>
    <row r="10" spans="1:5" ht="12.75">
      <c r="A10" s="2" t="s">
        <v>21</v>
      </c>
      <c r="B10" s="3">
        <f>B9/$H$4</f>
        <v>16.599999999999998</v>
      </c>
      <c r="C10" s="3">
        <f>C9/$H$4</f>
        <v>19.366666666666664</v>
      </c>
      <c r="D10" s="3">
        <f>D9/$H$4</f>
        <v>22.13333333333333</v>
      </c>
      <c r="E10" t="s">
        <v>11</v>
      </c>
    </row>
    <row r="11" spans="1:5" ht="12.75">
      <c r="A11" s="4" t="s">
        <v>24</v>
      </c>
      <c r="B11" s="3">
        <f>$H$5*B10</f>
        <v>14.109999999999998</v>
      </c>
      <c r="C11" s="3">
        <f>$H$5*C10</f>
        <v>16.461666666666662</v>
      </c>
      <c r="D11" s="3">
        <f>$H$5*D10</f>
        <v>18.81333333333333</v>
      </c>
      <c r="E11" t="s">
        <v>11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27</v>
      </c>
    </row>
    <row r="2" spans="1:3" ht="12.75">
      <c r="A2" s="1" t="s">
        <v>28</v>
      </c>
      <c r="C2" t="s">
        <v>36</v>
      </c>
    </row>
    <row r="4" spans="1:3" ht="12.75">
      <c r="A4" s="2" t="s">
        <v>29</v>
      </c>
      <c r="B4" s="2">
        <v>30</v>
      </c>
      <c r="C4" t="s">
        <v>32</v>
      </c>
    </row>
    <row r="5" spans="1:3" ht="12.75">
      <c r="A5" s="2" t="s">
        <v>30</v>
      </c>
      <c r="B5" s="2">
        <v>60</v>
      </c>
      <c r="C5" t="s">
        <v>32</v>
      </c>
    </row>
    <row r="6" spans="1:3" ht="12.75">
      <c r="A6" s="2" t="s">
        <v>31</v>
      </c>
      <c r="B6" s="2">
        <v>24</v>
      </c>
      <c r="C6" t="s">
        <v>32</v>
      </c>
    </row>
    <row r="8" spans="1:3" ht="12.75">
      <c r="A8" s="2" t="s">
        <v>33</v>
      </c>
      <c r="B8" s="2">
        <f>B4*B5</f>
        <v>1800</v>
      </c>
      <c r="C8" t="s">
        <v>35</v>
      </c>
    </row>
    <row r="9" spans="1:3" ht="12.75">
      <c r="A9" s="2" t="s">
        <v>34</v>
      </c>
      <c r="B9" s="2">
        <f>(B5-B6)*2+B4*2</f>
        <v>132</v>
      </c>
      <c r="C9" t="s">
        <v>32</v>
      </c>
    </row>
    <row r="10" spans="1:3" ht="12.75">
      <c r="A10" s="4" t="s">
        <v>23</v>
      </c>
      <c r="B10" s="3">
        <f>2*B8/B9</f>
        <v>27.272727272727273</v>
      </c>
      <c r="C10" t="s">
        <v>32</v>
      </c>
    </row>
    <row r="12" spans="1:4" ht="12.75">
      <c r="A12" s="4" t="s">
        <v>23</v>
      </c>
      <c r="B12" s="7">
        <v>0.55</v>
      </c>
      <c r="C12" s="7">
        <v>0.75</v>
      </c>
      <c r="D12" s="7">
        <v>0.6</v>
      </c>
    </row>
    <row r="13" spans="1:4" ht="12.75">
      <c r="A13" s="2">
        <v>20</v>
      </c>
      <c r="B13" s="3">
        <v>0.32</v>
      </c>
      <c r="C13" s="3">
        <v>0.23</v>
      </c>
      <c r="D13" s="8">
        <f>B13+(C13-B13)*($D$12-$B$12)/($C$12-$B$12)</f>
        <v>0.29750000000000004</v>
      </c>
    </row>
    <row r="14" spans="1:4" ht="12.75">
      <c r="A14" s="2">
        <v>60</v>
      </c>
      <c r="B14" s="3">
        <v>0.3</v>
      </c>
      <c r="C14" s="3">
        <v>0.21</v>
      </c>
      <c r="D14" s="8">
        <f>B14+(C14-B14)*($D$12-$B$12)/($C$12-$B$12)</f>
        <v>0.2775</v>
      </c>
    </row>
    <row r="16" spans="1:4" ht="12.75">
      <c r="A16" s="3">
        <f>B10</f>
        <v>27.272727272727273</v>
      </c>
      <c r="D16" s="8">
        <f>D13+(D14-D13)*(A16-A13)/(A14-A13)</f>
        <v>0.2938636363636364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37</v>
      </c>
    </row>
    <row r="2" ht="12.75">
      <c r="A2" s="1" t="s">
        <v>38</v>
      </c>
    </row>
    <row r="4" spans="1:11" ht="12.75">
      <c r="A4" s="2" t="s">
        <v>29</v>
      </c>
      <c r="B4" s="2">
        <v>30</v>
      </c>
      <c r="C4" t="s">
        <v>32</v>
      </c>
      <c r="E4" s="2" t="s">
        <v>39</v>
      </c>
      <c r="F4" s="2">
        <v>25</v>
      </c>
      <c r="G4" t="s">
        <v>11</v>
      </c>
      <c r="I4" s="2" t="s">
        <v>42</v>
      </c>
      <c r="J4">
        <v>60</v>
      </c>
      <c r="K4" t="s">
        <v>43</v>
      </c>
    </row>
    <row r="5" spans="1:7" ht="12.75">
      <c r="A5" s="2" t="s">
        <v>30</v>
      </c>
      <c r="B5" s="2">
        <v>60</v>
      </c>
      <c r="C5" t="s">
        <v>32</v>
      </c>
      <c r="E5" s="2" t="s">
        <v>40</v>
      </c>
      <c r="F5" s="3">
        <f>0.83*F4</f>
        <v>20.75</v>
      </c>
      <c r="G5" t="s">
        <v>11</v>
      </c>
    </row>
    <row r="6" spans="1:7" ht="12.75">
      <c r="A6" s="2" t="s">
        <v>31</v>
      </c>
      <c r="B6" s="2">
        <v>24</v>
      </c>
      <c r="C6" t="s">
        <v>32</v>
      </c>
      <c r="E6" s="2" t="s">
        <v>41</v>
      </c>
      <c r="F6" s="3">
        <f>F5+8</f>
        <v>28.75</v>
      </c>
      <c r="G6" t="s">
        <v>11</v>
      </c>
    </row>
    <row r="8" spans="1:3" ht="12.75">
      <c r="A8" s="2" t="s">
        <v>33</v>
      </c>
      <c r="B8" s="2">
        <f>B4*B5</f>
        <v>1800</v>
      </c>
      <c r="C8" t="s">
        <v>35</v>
      </c>
    </row>
    <row r="9" spans="1:3" ht="12.75">
      <c r="A9" s="2" t="s">
        <v>34</v>
      </c>
      <c r="B9" s="2">
        <f>(B5-B6)*2+B4*2</f>
        <v>132</v>
      </c>
      <c r="C9" t="s">
        <v>32</v>
      </c>
    </row>
    <row r="10" spans="1:7" ht="12.75">
      <c r="A10" s="4" t="s">
        <v>23</v>
      </c>
      <c r="B10" s="3">
        <f>2*B8/B9</f>
        <v>27.272727272727273</v>
      </c>
      <c r="C10" t="s">
        <v>32</v>
      </c>
      <c r="E10" s="2" t="s">
        <v>54</v>
      </c>
      <c r="F10" s="10">
        <f>B10*10</f>
        <v>272.72727272727275</v>
      </c>
      <c r="G10" t="s">
        <v>53</v>
      </c>
    </row>
    <row r="12" spans="1:8" ht="12.75">
      <c r="A12" s="4" t="s">
        <v>47</v>
      </c>
      <c r="B12" s="2">
        <v>5</v>
      </c>
      <c r="D12" s="4" t="s">
        <v>46</v>
      </c>
      <c r="E12">
        <f>(160+B12*(90-F6))*0.000001</f>
        <v>0.00046625</v>
      </c>
      <c r="G12" s="4" t="s">
        <v>45</v>
      </c>
      <c r="H12" s="8">
        <f>-1.55*(1-(J4/100)^3)</f>
        <v>-1.2152</v>
      </c>
    </row>
    <row r="14" spans="1:6" ht="12.75">
      <c r="A14" s="4" t="s">
        <v>44</v>
      </c>
      <c r="B14" s="12">
        <f>E12*H12</f>
        <v>-0.000566587</v>
      </c>
      <c r="D14" s="2" t="s">
        <v>48</v>
      </c>
      <c r="E14" s="8">
        <f>-B14*1000</f>
        <v>0.5665870000000001</v>
      </c>
      <c r="F14" s="11" t="s">
        <v>49</v>
      </c>
    </row>
    <row r="16" spans="1:3" ht="12.75">
      <c r="A16" s="3" t="s">
        <v>50</v>
      </c>
      <c r="B16" s="4" t="s">
        <v>51</v>
      </c>
      <c r="C16" s="4" t="s">
        <v>52</v>
      </c>
    </row>
    <row r="17" spans="1:7" ht="12.75">
      <c r="A17" s="2">
        <v>0</v>
      </c>
      <c r="B17" s="9">
        <f>SQRT(A17/(0.035*$F$10^2+A17))</f>
        <v>0</v>
      </c>
      <c r="C17" s="8">
        <f>B17*$E$14</f>
        <v>0</v>
      </c>
      <c r="D17" s="6">
        <f>$E$14-C17</f>
        <v>0.5665870000000001</v>
      </c>
      <c r="F17">
        <v>0</v>
      </c>
      <c r="G17" s="6">
        <f>E14</f>
        <v>0.5665870000000001</v>
      </c>
    </row>
    <row r="18" spans="1:7" ht="12.75">
      <c r="A18" s="2">
        <v>1</v>
      </c>
      <c r="B18" s="9">
        <f aca="true" t="shared" si="0" ref="B18:B53">SQRT(A18/(0.035*$F$10^2+A18))</f>
        <v>0.019595394541692242</v>
      </c>
      <c r="C18" s="8">
        <f>B18*$E$14</f>
        <v>0.011102495807193783</v>
      </c>
      <c r="D18" s="6">
        <f aca="true" t="shared" si="1" ref="D18:D53">$E$14-C18</f>
        <v>0.5554845041928063</v>
      </c>
      <c r="F18">
        <v>36500</v>
      </c>
      <c r="G18" s="6">
        <f>G17</f>
        <v>0.5665870000000001</v>
      </c>
    </row>
    <row r="19" spans="1:4" ht="12.75">
      <c r="A19" s="2">
        <v>2</v>
      </c>
      <c r="B19" s="9">
        <f t="shared" si="0"/>
        <v>0.02770675381888891</v>
      </c>
      <c r="C19" s="8">
        <f>B19*$E$14</f>
        <v>0.01569828652598281</v>
      </c>
      <c r="D19" s="6">
        <f t="shared" si="1"/>
        <v>0.5508887134740172</v>
      </c>
    </row>
    <row r="20" spans="1:4" ht="12.75">
      <c r="A20" s="2">
        <v>3</v>
      </c>
      <c r="B20" s="9">
        <f t="shared" si="0"/>
        <v>0.03392719409413392</v>
      </c>
      <c r="C20" s="8">
        <f aca="true" t="shared" si="2" ref="C20:C53">B20*$E$14</f>
        <v>0.019222707120213057</v>
      </c>
      <c r="D20" s="6">
        <f t="shared" si="1"/>
        <v>0.547364292879787</v>
      </c>
    </row>
    <row r="21" spans="1:4" ht="12.75">
      <c r="A21" s="2">
        <v>4</v>
      </c>
      <c r="B21" s="9">
        <f t="shared" si="0"/>
        <v>0.0391682358777984</v>
      </c>
      <c r="C21" s="8">
        <f t="shared" si="2"/>
        <v>0.022192213261294166</v>
      </c>
      <c r="D21" s="6">
        <f t="shared" si="1"/>
        <v>0.5443947867387059</v>
      </c>
    </row>
    <row r="22" spans="1:4" ht="12.75">
      <c r="A22" s="2">
        <v>5</v>
      </c>
      <c r="B22" s="9">
        <f t="shared" si="0"/>
        <v>0.0437830235761208</v>
      </c>
      <c r="C22" s="8">
        <f t="shared" si="2"/>
        <v>0.024806891978923558</v>
      </c>
      <c r="D22" s="6">
        <f t="shared" si="1"/>
        <v>0.5417801080210765</v>
      </c>
    </row>
    <row r="23" spans="1:4" ht="12.75">
      <c r="A23" s="2">
        <v>6</v>
      </c>
      <c r="B23" s="9">
        <f t="shared" si="0"/>
        <v>0.047952707868279675</v>
      </c>
      <c r="C23" s="8">
        <f t="shared" si="2"/>
        <v>0.02716938089296498</v>
      </c>
      <c r="D23" s="6">
        <f t="shared" si="1"/>
        <v>0.5394176191070351</v>
      </c>
    </row>
    <row r="24" spans="1:4" ht="12.75">
      <c r="A24" s="2">
        <v>7</v>
      </c>
      <c r="B24" s="9">
        <f t="shared" si="0"/>
        <v>0.05178492207483009</v>
      </c>
      <c r="C24" s="8">
        <f t="shared" si="2"/>
        <v>0.02934066364361176</v>
      </c>
      <c r="D24" s="6">
        <f t="shared" si="1"/>
        <v>0.5372463363563883</v>
      </c>
    </row>
    <row r="25" spans="1:4" ht="12.75">
      <c r="A25" s="2">
        <v>10</v>
      </c>
      <c r="B25" s="9">
        <f t="shared" si="0"/>
        <v>0.06185928345596427</v>
      </c>
      <c r="C25" s="8">
        <f t="shared" si="2"/>
        <v>0.03504866583546443</v>
      </c>
      <c r="D25" s="6">
        <f t="shared" si="1"/>
        <v>0.5315383341645357</v>
      </c>
    </row>
    <row r="26" spans="1:4" ht="12.75">
      <c r="A26" s="2">
        <v>14</v>
      </c>
      <c r="B26" s="9">
        <f t="shared" si="0"/>
        <v>0.07313693991423599</v>
      </c>
      <c r="C26" s="8">
        <f t="shared" si="2"/>
        <v>0.04143843937518723</v>
      </c>
      <c r="D26" s="6">
        <f t="shared" si="1"/>
        <v>0.5251485606248129</v>
      </c>
    </row>
    <row r="27" spans="1:4" ht="12.75">
      <c r="A27" s="2">
        <v>21</v>
      </c>
      <c r="B27" s="9">
        <f t="shared" si="0"/>
        <v>0.0894545485827969</v>
      </c>
      <c r="C27" s="8">
        <f t="shared" si="2"/>
        <v>0.050683784317881155</v>
      </c>
      <c r="D27" s="6">
        <f t="shared" si="1"/>
        <v>0.5159032156821189</v>
      </c>
    </row>
    <row r="28" spans="1:4" ht="12.75">
      <c r="A28" s="2">
        <v>28</v>
      </c>
      <c r="B28" s="9">
        <f t="shared" si="0"/>
        <v>0.10315572967238595</v>
      </c>
      <c r="C28" s="8">
        <f t="shared" si="2"/>
        <v>0.05844669540788815</v>
      </c>
      <c r="D28" s="6">
        <f t="shared" si="1"/>
        <v>0.5081403045921119</v>
      </c>
    </row>
    <row r="29" spans="1:4" ht="12.75">
      <c r="A29" s="2">
        <v>35</v>
      </c>
      <c r="B29" s="9">
        <f t="shared" si="0"/>
        <v>0.11517851034199204</v>
      </c>
      <c r="C29" s="8">
        <f t="shared" si="2"/>
        <v>0.06525864663913826</v>
      </c>
      <c r="D29" s="6">
        <f t="shared" si="1"/>
        <v>0.5013283533608618</v>
      </c>
    </row>
    <row r="30" spans="1:4" ht="12.75">
      <c r="A30" s="2">
        <v>45</v>
      </c>
      <c r="B30" s="9">
        <f t="shared" si="0"/>
        <v>0.1303533486575973</v>
      </c>
      <c r="C30" s="8">
        <f t="shared" si="2"/>
        <v>0.07385651275586208</v>
      </c>
      <c r="D30" s="6">
        <f t="shared" si="1"/>
        <v>0.492730487244138</v>
      </c>
    </row>
    <row r="31" spans="1:4" ht="12.75">
      <c r="A31" s="2">
        <v>60</v>
      </c>
      <c r="B31" s="9">
        <f t="shared" si="0"/>
        <v>0.15009461423669912</v>
      </c>
      <c r="C31" s="8">
        <f t="shared" si="2"/>
        <v>0.08504165719652865</v>
      </c>
      <c r="D31" s="6">
        <f t="shared" si="1"/>
        <v>0.4815453428034714</v>
      </c>
    </row>
    <row r="32" spans="1:4" ht="12.75">
      <c r="A32" s="2">
        <v>75</v>
      </c>
      <c r="B32" s="9">
        <f t="shared" si="0"/>
        <v>0.16734030337884076</v>
      </c>
      <c r="C32" s="8">
        <f t="shared" si="2"/>
        <v>0.09481284047050725</v>
      </c>
      <c r="D32" s="6">
        <f t="shared" si="1"/>
        <v>0.4717741595294928</v>
      </c>
    </row>
    <row r="33" spans="1:4" ht="12.75">
      <c r="A33" s="2">
        <v>90</v>
      </c>
      <c r="B33" s="9">
        <f t="shared" si="0"/>
        <v>0.18280093920644486</v>
      </c>
      <c r="C33" s="8">
        <f t="shared" si="2"/>
        <v>0.10357263574216198</v>
      </c>
      <c r="D33" s="6">
        <f t="shared" si="1"/>
        <v>0.4630143642578381</v>
      </c>
    </row>
    <row r="34" spans="1:4" ht="12.75">
      <c r="A34" s="2">
        <v>105</v>
      </c>
      <c r="B34" s="9">
        <f t="shared" si="0"/>
        <v>0.1969000383955112</v>
      </c>
      <c r="C34" s="8">
        <f t="shared" si="2"/>
        <v>0.11156100205439752</v>
      </c>
      <c r="D34" s="6">
        <f t="shared" si="1"/>
        <v>0.45502599794560256</v>
      </c>
    </row>
    <row r="35" spans="1:4" ht="12.75">
      <c r="A35" s="2">
        <v>120</v>
      </c>
      <c r="B35" s="9">
        <f t="shared" si="0"/>
        <v>0.209914490272852</v>
      </c>
      <c r="C35" s="8">
        <f t="shared" si="2"/>
        <v>0.11893482130022441</v>
      </c>
      <c r="D35" s="6">
        <f t="shared" si="1"/>
        <v>0.44765217869977564</v>
      </c>
    </row>
    <row r="36" spans="1:4" ht="12.75">
      <c r="A36" s="2">
        <v>150</v>
      </c>
      <c r="B36" s="9">
        <f t="shared" si="0"/>
        <v>0.23340943421419172</v>
      </c>
      <c r="C36" s="8">
        <f t="shared" si="2"/>
        <v>0.13224675110311626</v>
      </c>
      <c r="D36" s="6">
        <f t="shared" si="1"/>
        <v>0.43434024889688383</v>
      </c>
    </row>
    <row r="37" spans="1:4" ht="12.75">
      <c r="A37" s="2">
        <v>180</v>
      </c>
      <c r="B37" s="9">
        <f t="shared" si="0"/>
        <v>0.25430552249353694</v>
      </c>
      <c r="C37" s="8">
        <f t="shared" si="2"/>
        <v>0.14408620307304562</v>
      </c>
      <c r="D37" s="6">
        <f t="shared" si="1"/>
        <v>0.4225007969269544</v>
      </c>
    </row>
    <row r="38" spans="1:4" ht="12.75">
      <c r="A38" s="2">
        <v>240</v>
      </c>
      <c r="B38" s="9">
        <f t="shared" si="0"/>
        <v>0.2905319081884451</v>
      </c>
      <c r="C38" s="8">
        <f t="shared" si="2"/>
        <v>0.16461160226476657</v>
      </c>
      <c r="D38" s="6">
        <f t="shared" si="1"/>
        <v>0.4019753977352335</v>
      </c>
    </row>
    <row r="39" spans="1:4" ht="12.75">
      <c r="A39" s="2">
        <v>270</v>
      </c>
      <c r="B39" s="9">
        <f t="shared" si="0"/>
        <v>0.30654268597982326</v>
      </c>
      <c r="C39" s="8">
        <f t="shared" si="2"/>
        <v>0.17368310082125013</v>
      </c>
      <c r="D39" s="6">
        <f t="shared" si="1"/>
        <v>0.3929038991787499</v>
      </c>
    </row>
    <row r="40" spans="1:4" ht="12.75">
      <c r="A40" s="2">
        <v>300</v>
      </c>
      <c r="B40" s="9">
        <f t="shared" si="0"/>
        <v>0.32145059770274187</v>
      </c>
      <c r="C40" s="8">
        <f t="shared" si="2"/>
        <v>0.18212972980060343</v>
      </c>
      <c r="D40" s="6">
        <f t="shared" si="1"/>
        <v>0.38445727019939663</v>
      </c>
    </row>
    <row r="41" spans="1:4" ht="12.75">
      <c r="A41" s="2">
        <v>330</v>
      </c>
      <c r="B41" s="9">
        <f t="shared" si="0"/>
        <v>0.33541177162759395</v>
      </c>
      <c r="C41" s="8">
        <f t="shared" si="2"/>
        <v>0.1900399494511636</v>
      </c>
      <c r="D41" s="6">
        <f t="shared" si="1"/>
        <v>0.37654705054883647</v>
      </c>
    </row>
    <row r="42" spans="1:4" ht="12.75">
      <c r="A42" s="2">
        <v>365</v>
      </c>
      <c r="B42" s="9">
        <f t="shared" si="0"/>
        <v>0.35066475132608993</v>
      </c>
      <c r="C42" s="8">
        <f t="shared" si="2"/>
        <v>0.19868208945959534</v>
      </c>
      <c r="D42" s="6">
        <f t="shared" si="1"/>
        <v>0.36790491054040475</v>
      </c>
    </row>
    <row r="43" spans="1:4" ht="12.75">
      <c r="A43" s="2">
        <v>547</v>
      </c>
      <c r="B43" s="9">
        <f>SQRT(A43/(0.035*$F$10^2+A43))</f>
        <v>0.41669405827094785</v>
      </c>
      <c r="C43" s="8">
        <f t="shared" si="2"/>
        <v>0.23609343639356156</v>
      </c>
      <c r="D43" s="6">
        <f t="shared" si="1"/>
        <v>0.3304935636064385</v>
      </c>
    </row>
    <row r="44" spans="1:4" ht="12.75">
      <c r="A44" s="2">
        <v>730</v>
      </c>
      <c r="B44" s="9">
        <f t="shared" si="0"/>
        <v>0.46797629206222985</v>
      </c>
      <c r="C44" s="8">
        <f t="shared" si="2"/>
        <v>0.2651492833906626</v>
      </c>
      <c r="D44" s="6">
        <f t="shared" si="1"/>
        <v>0.30143771660933744</v>
      </c>
    </row>
    <row r="45" spans="1:4" ht="12.75">
      <c r="A45" s="2">
        <v>1095</v>
      </c>
      <c r="B45" s="9">
        <f t="shared" si="0"/>
        <v>0.5441337339881765</v>
      </c>
      <c r="C45" s="8">
        <f t="shared" si="2"/>
        <v>0.308299099939159</v>
      </c>
      <c r="D45" s="6">
        <f t="shared" si="1"/>
        <v>0.25828790006084107</v>
      </c>
    </row>
    <row r="46" spans="1:4" ht="12.75">
      <c r="A46" s="2">
        <v>1460</v>
      </c>
      <c r="B46" s="9">
        <f t="shared" si="0"/>
        <v>0.5994275157361806</v>
      </c>
      <c r="C46" s="8">
        <f t="shared" si="2"/>
        <v>0.3396278378584154</v>
      </c>
      <c r="D46" s="6">
        <f t="shared" si="1"/>
        <v>0.22695916214158468</v>
      </c>
    </row>
    <row r="47" spans="1:4" ht="12.75">
      <c r="A47" s="2">
        <v>1825</v>
      </c>
      <c r="B47" s="9">
        <f t="shared" si="0"/>
        <v>0.641966895479086</v>
      </c>
      <c r="C47" s="8">
        <f t="shared" si="2"/>
        <v>0.36373009740880896</v>
      </c>
      <c r="D47" s="6">
        <f t="shared" si="1"/>
        <v>0.2028569025911911</v>
      </c>
    </row>
    <row r="48" spans="1:4" ht="12.75">
      <c r="A48" s="2">
        <v>2190</v>
      </c>
      <c r="B48" s="9">
        <f t="shared" si="0"/>
        <v>0.6759343072445227</v>
      </c>
      <c r="C48" s="8">
        <f t="shared" si="2"/>
        <v>0.3829755913387525</v>
      </c>
      <c r="D48" s="6">
        <f t="shared" si="1"/>
        <v>0.1836114086612476</v>
      </c>
    </row>
    <row r="49" spans="1:4" ht="12.75">
      <c r="A49" s="2">
        <v>2555</v>
      </c>
      <c r="B49" s="9">
        <f t="shared" si="0"/>
        <v>0.7037880856402368</v>
      </c>
      <c r="C49" s="8">
        <f t="shared" si="2"/>
        <v>0.39875718007864486</v>
      </c>
      <c r="D49" s="6">
        <f t="shared" si="1"/>
        <v>0.1678298199213552</v>
      </c>
    </row>
    <row r="50" spans="1:4" ht="12.75">
      <c r="A50" s="2">
        <v>2920</v>
      </c>
      <c r="B50" s="9">
        <f t="shared" si="0"/>
        <v>0.7270962117390032</v>
      </c>
      <c r="C50" s="8">
        <f t="shared" si="2"/>
        <v>0.41196326132056665</v>
      </c>
      <c r="D50" s="6">
        <f t="shared" si="1"/>
        <v>0.1546237386794334</v>
      </c>
    </row>
    <row r="51" spans="1:4" ht="12.75">
      <c r="A51" s="2">
        <v>3285</v>
      </c>
      <c r="B51" s="9">
        <f t="shared" si="0"/>
        <v>0.7469172840194085</v>
      </c>
      <c r="C51" s="8">
        <f t="shared" si="2"/>
        <v>0.42319362320070464</v>
      </c>
      <c r="D51" s="6">
        <f t="shared" si="1"/>
        <v>0.14339337679929542</v>
      </c>
    </row>
    <row r="52" spans="1:4" ht="12.75">
      <c r="A52" s="2">
        <v>3650</v>
      </c>
      <c r="B52" s="9">
        <f t="shared" si="0"/>
        <v>0.7639969049235968</v>
      </c>
      <c r="C52" s="8">
        <f t="shared" si="2"/>
        <v>0.432870714369946</v>
      </c>
      <c r="D52" s="6">
        <f t="shared" si="1"/>
        <v>0.13371628563005405</v>
      </c>
    </row>
    <row r="53" spans="1:4" ht="12.75">
      <c r="A53" s="2">
        <v>36500</v>
      </c>
      <c r="B53" s="9">
        <f t="shared" si="0"/>
        <v>0.9661391815375681</v>
      </c>
      <c r="C53" s="8">
        <f t="shared" si="2"/>
        <v>0.5474019004498262</v>
      </c>
      <c r="D53" s="6">
        <f t="shared" si="1"/>
        <v>0.01918509955017389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55</v>
      </c>
    </row>
    <row r="2" spans="1:4" ht="12.75">
      <c r="A2" s="1" t="s">
        <v>56</v>
      </c>
      <c r="D2" t="s">
        <v>36</v>
      </c>
    </row>
    <row r="4" spans="1:3" ht="12.75">
      <c r="A4" s="2" t="s">
        <v>29</v>
      </c>
      <c r="B4" s="2">
        <v>30</v>
      </c>
      <c r="C4" t="s">
        <v>32</v>
      </c>
    </row>
    <row r="5" spans="1:3" ht="12.75">
      <c r="A5" s="2" t="s">
        <v>30</v>
      </c>
      <c r="B5" s="2">
        <v>60</v>
      </c>
      <c r="C5" t="s">
        <v>32</v>
      </c>
    </row>
    <row r="6" spans="1:3" ht="12.75">
      <c r="A6" s="2" t="s">
        <v>31</v>
      </c>
      <c r="B6" s="2">
        <v>24</v>
      </c>
      <c r="C6" t="s">
        <v>32</v>
      </c>
    </row>
    <row r="8" spans="1:3" ht="12.75">
      <c r="A8" s="2" t="s">
        <v>33</v>
      </c>
      <c r="B8" s="2">
        <f>B4*B5</f>
        <v>1800</v>
      </c>
      <c r="C8" t="s">
        <v>35</v>
      </c>
    </row>
    <row r="9" spans="1:3" ht="12.75">
      <c r="A9" s="2" t="s">
        <v>34</v>
      </c>
      <c r="B9" s="2">
        <f>(B5-B6)*2+B4*2</f>
        <v>132</v>
      </c>
      <c r="C9" t="s">
        <v>32</v>
      </c>
    </row>
    <row r="10" spans="1:3" ht="12.75">
      <c r="A10" s="4" t="s">
        <v>23</v>
      </c>
      <c r="B10" s="3">
        <f>2*B8/B9</f>
        <v>27.272727272727273</v>
      </c>
      <c r="C10" t="s">
        <v>32</v>
      </c>
    </row>
    <row r="12" spans="1:4" ht="12.75">
      <c r="A12" s="4" t="s">
        <v>23</v>
      </c>
      <c r="B12" s="7">
        <v>0.55</v>
      </c>
      <c r="C12" s="7">
        <v>0.75</v>
      </c>
      <c r="D12" s="7">
        <v>0.6</v>
      </c>
    </row>
    <row r="13" spans="1:4" ht="12.75">
      <c r="A13" s="2">
        <v>20</v>
      </c>
      <c r="B13" s="10">
        <v>3</v>
      </c>
      <c r="C13" s="10">
        <v>2.2</v>
      </c>
      <c r="D13" s="3">
        <f>B13+(C13-B13)*($D$12-$B$12)/($C$12-$B$12)</f>
        <v>2.8000000000000003</v>
      </c>
    </row>
    <row r="14" spans="1:4" ht="12.75">
      <c r="A14" s="2">
        <v>60</v>
      </c>
      <c r="B14" s="10">
        <v>2.5</v>
      </c>
      <c r="C14" s="10">
        <v>1.9</v>
      </c>
      <c r="D14" s="3">
        <f>B14+(C14-B14)*($D$12-$B$12)/($C$12-$B$12)</f>
        <v>2.35</v>
      </c>
    </row>
    <row r="16" spans="1:4" ht="12.75">
      <c r="A16" s="3">
        <f>B10</f>
        <v>27.272727272727273</v>
      </c>
      <c r="D16" s="8">
        <f>D13+(D14-D13)*(A16-A13)/(A14-A13)</f>
        <v>2.7181818181818183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57</v>
      </c>
    </row>
    <row r="2" spans="1:7" ht="12.75">
      <c r="A2" s="1" t="s">
        <v>58</v>
      </c>
      <c r="F2">
        <v>28</v>
      </c>
      <c r="G2" t="s">
        <v>62</v>
      </c>
    </row>
    <row r="4" spans="1:11" ht="12.75">
      <c r="A4" s="2" t="s">
        <v>29</v>
      </c>
      <c r="B4" s="2">
        <v>30</v>
      </c>
      <c r="C4" t="s">
        <v>32</v>
      </c>
      <c r="E4" s="2" t="s">
        <v>39</v>
      </c>
      <c r="F4" s="2">
        <v>25</v>
      </c>
      <c r="G4" t="s">
        <v>11</v>
      </c>
      <c r="I4" s="2" t="s">
        <v>42</v>
      </c>
      <c r="J4">
        <v>60</v>
      </c>
      <c r="K4" t="s">
        <v>43</v>
      </c>
    </row>
    <row r="5" spans="1:7" ht="12.75">
      <c r="A5" s="2" t="s">
        <v>30</v>
      </c>
      <c r="B5" s="2">
        <v>60</v>
      </c>
      <c r="C5" t="s">
        <v>32</v>
      </c>
      <c r="E5" s="2" t="s">
        <v>40</v>
      </c>
      <c r="F5" s="3">
        <f>0.83*F4</f>
        <v>20.75</v>
      </c>
      <c r="G5" t="s">
        <v>11</v>
      </c>
    </row>
    <row r="6" spans="1:7" ht="12.75">
      <c r="A6" s="2" t="s">
        <v>31</v>
      </c>
      <c r="B6" s="2">
        <v>24</v>
      </c>
      <c r="C6" t="s">
        <v>32</v>
      </c>
      <c r="E6" s="2" t="s">
        <v>41</v>
      </c>
      <c r="F6" s="3">
        <f>F5+8</f>
        <v>28.75</v>
      </c>
      <c r="G6" t="s">
        <v>11</v>
      </c>
    </row>
    <row r="8" spans="1:3" ht="12.75">
      <c r="A8" s="2" t="s">
        <v>33</v>
      </c>
      <c r="B8" s="2">
        <f>B4*B5</f>
        <v>1800</v>
      </c>
      <c r="C8" t="s">
        <v>35</v>
      </c>
    </row>
    <row r="9" spans="1:3" ht="12.75">
      <c r="A9" s="2" t="s">
        <v>34</v>
      </c>
      <c r="B9" s="2">
        <f>(B5-B6)*2+B4*2</f>
        <v>132</v>
      </c>
      <c r="C9" t="s">
        <v>32</v>
      </c>
    </row>
    <row r="10" spans="1:7" ht="12.75">
      <c r="A10" s="4" t="s">
        <v>23</v>
      </c>
      <c r="B10" s="3">
        <f>2*B8/B9</f>
        <v>27.272727272727273</v>
      </c>
      <c r="C10" t="s">
        <v>32</v>
      </c>
      <c r="E10" s="2" t="s">
        <v>54</v>
      </c>
      <c r="F10" s="10">
        <f>B10*10</f>
        <v>272.72727272727275</v>
      </c>
      <c r="G10" t="s">
        <v>53</v>
      </c>
    </row>
    <row r="12" spans="1:8" ht="12.75">
      <c r="A12" s="4" t="s">
        <v>59</v>
      </c>
      <c r="B12" s="8">
        <f>1+(1-J4/100)/(0.1*F10^(1/3))</f>
        <v>1.616808667891032</v>
      </c>
      <c r="D12" s="4" t="s">
        <v>60</v>
      </c>
      <c r="E12" s="8">
        <f>1/(0.1+F2^0.2)</f>
        <v>0.4884495453790254</v>
      </c>
      <c r="G12" s="4" t="s">
        <v>61</v>
      </c>
      <c r="H12" s="8">
        <f>16.8/SQRT(F6)</f>
        <v>3.1332161556874545</v>
      </c>
    </row>
    <row r="14" spans="1:6" ht="12.75">
      <c r="A14" s="4" t="s">
        <v>63</v>
      </c>
      <c r="B14" s="8">
        <f>B12*E12*H12</f>
        <v>2.474393098922696</v>
      </c>
      <c r="D14" s="4" t="s">
        <v>65</v>
      </c>
      <c r="E14" s="10">
        <f>MIN(1500,1.5*(1+(0.012*J4)^18)*F10+250)</f>
        <v>660.1970355076992</v>
      </c>
      <c r="F14" s="11"/>
    </row>
    <row r="16" spans="1:3" ht="12.75">
      <c r="A16" s="3" t="s">
        <v>50</v>
      </c>
      <c r="B16" s="4" t="s">
        <v>64</v>
      </c>
      <c r="C16" s="4" t="s">
        <v>66</v>
      </c>
    </row>
    <row r="17" spans="1:6" ht="12.75">
      <c r="A17" s="2">
        <v>0</v>
      </c>
      <c r="B17" s="9">
        <f>(A17/($E$14+A17))^0.3</f>
        <v>0</v>
      </c>
      <c r="C17" s="8">
        <f>B17*$B$14+1</f>
        <v>1</v>
      </c>
      <c r="D17" s="6"/>
      <c r="E17">
        <v>0</v>
      </c>
      <c r="F17" s="6">
        <f>B14+1</f>
        <v>3.474393098922696</v>
      </c>
    </row>
    <row r="18" spans="1:6" ht="12.75">
      <c r="A18" s="2">
        <v>1</v>
      </c>
      <c r="B18" s="9">
        <f aca="true" t="shared" si="0" ref="B18:B49">(A18/($E$14+A18))^0.3</f>
        <v>0.14252817710784613</v>
      </c>
      <c r="C18" s="8">
        <f aca="true" t="shared" si="1" ref="C18:C49">B18*$B$14+1</f>
        <v>1.3526707378376863</v>
      </c>
      <c r="D18" s="6"/>
      <c r="E18">
        <v>730</v>
      </c>
      <c r="F18" s="6">
        <f>F17</f>
        <v>3.474393098922696</v>
      </c>
    </row>
    <row r="19" spans="1:4" ht="12.75">
      <c r="A19" s="2">
        <v>2</v>
      </c>
      <c r="B19" s="9">
        <f t="shared" si="0"/>
        <v>0.1753932312167412</v>
      </c>
      <c r="C19" s="8">
        <f t="shared" si="1"/>
        <v>1.433991800920457</v>
      </c>
      <c r="D19" s="6"/>
    </row>
    <row r="20" spans="1:4" ht="12.75">
      <c r="A20" s="2">
        <v>3</v>
      </c>
      <c r="B20" s="9">
        <f t="shared" si="0"/>
        <v>0.1979901586029906</v>
      </c>
      <c r="C20" s="8">
        <f t="shared" si="1"/>
        <v>1.48990548210185</v>
      </c>
      <c r="D20" s="6"/>
    </row>
    <row r="21" spans="1:4" ht="12.75">
      <c r="A21" s="2">
        <v>4</v>
      </c>
      <c r="B21" s="9">
        <f t="shared" si="0"/>
        <v>0.2157391272615723</v>
      </c>
      <c r="C21" s="8">
        <f t="shared" si="1"/>
        <v>1.5338234076636397</v>
      </c>
      <c r="D21" s="6"/>
    </row>
    <row r="22" spans="1:4" ht="12.75">
      <c r="A22" s="2">
        <v>5</v>
      </c>
      <c r="B22" s="9">
        <f t="shared" si="0"/>
        <v>0.23057165123620632</v>
      </c>
      <c r="C22" s="8">
        <f t="shared" si="1"/>
        <v>1.5705249026260795</v>
      </c>
      <c r="D22" s="6"/>
    </row>
    <row r="23" spans="1:4" ht="12.75">
      <c r="A23" s="2">
        <v>6</v>
      </c>
      <c r="B23" s="9">
        <f t="shared" si="0"/>
        <v>0.24342465679943237</v>
      </c>
      <c r="C23" s="8">
        <f t="shared" si="1"/>
        <v>1.602328290892141</v>
      </c>
      <c r="D23" s="6"/>
    </row>
    <row r="24" spans="1:4" ht="12.75">
      <c r="A24" s="2">
        <v>7</v>
      </c>
      <c r="B24" s="9">
        <f t="shared" si="0"/>
        <v>0.25483154049603585</v>
      </c>
      <c r="C24" s="8">
        <f t="shared" si="1"/>
        <v>1.6305534051912307</v>
      </c>
      <c r="D24" s="6"/>
    </row>
    <row r="25" spans="1:4" ht="12.75">
      <c r="A25" s="2">
        <v>10</v>
      </c>
      <c r="B25" s="9">
        <f t="shared" si="0"/>
        <v>0.2832299979800841</v>
      </c>
      <c r="C25" s="8">
        <f t="shared" si="1"/>
        <v>1.7008223524098092</v>
      </c>
      <c r="D25" s="6"/>
    </row>
    <row r="26" spans="1:4" ht="12.75">
      <c r="A26" s="2">
        <v>14</v>
      </c>
      <c r="B26" s="9">
        <f t="shared" si="0"/>
        <v>0.31275363004718365</v>
      </c>
      <c r="C26" s="8">
        <f t="shared" si="1"/>
        <v>1.773875423851773</v>
      </c>
      <c r="D26" s="6"/>
    </row>
    <row r="27" spans="1:4" ht="12.75">
      <c r="A27" s="2">
        <v>21</v>
      </c>
      <c r="B27" s="9">
        <f t="shared" si="0"/>
        <v>0.3521145438136659</v>
      </c>
      <c r="C27" s="8">
        <f t="shared" si="1"/>
        <v>1.871269797242848</v>
      </c>
      <c r="D27" s="6"/>
    </row>
    <row r="28" spans="1:4" ht="12.75">
      <c r="A28" s="2">
        <v>28</v>
      </c>
      <c r="B28" s="9">
        <f t="shared" si="0"/>
        <v>0.38267806574858515</v>
      </c>
      <c r="C28" s="8">
        <f t="shared" si="1"/>
        <v>1.9468959649973847</v>
      </c>
      <c r="D28" s="6"/>
    </row>
    <row r="29" spans="1:4" ht="12.75">
      <c r="A29" s="2">
        <v>35</v>
      </c>
      <c r="B29" s="9">
        <f t="shared" si="0"/>
        <v>0.40793224911113574</v>
      </c>
      <c r="C29" s="8">
        <f t="shared" si="1"/>
        <v>2.009384742028608</v>
      </c>
      <c r="D29" s="6"/>
    </row>
    <row r="30" spans="1:4" ht="12.75">
      <c r="A30" s="2">
        <v>45</v>
      </c>
      <c r="B30" s="9">
        <f t="shared" si="0"/>
        <v>0.4379964703958827</v>
      </c>
      <c r="C30" s="8">
        <f t="shared" si="1"/>
        <v>2.083775443700071</v>
      </c>
      <c r="D30" s="6"/>
    </row>
    <row r="31" spans="1:4" ht="12.75">
      <c r="A31" s="2">
        <v>60</v>
      </c>
      <c r="B31" s="9">
        <f t="shared" si="0"/>
        <v>0.47447133114858403</v>
      </c>
      <c r="C31" s="8">
        <f t="shared" si="1"/>
        <v>2.1740285874307217</v>
      </c>
      <c r="D31" s="6"/>
    </row>
    <row r="32" spans="1:4" ht="12.75">
      <c r="A32" s="2">
        <v>75</v>
      </c>
      <c r="B32" s="9">
        <f t="shared" si="0"/>
        <v>0.5041935143390821</v>
      </c>
      <c r="C32" s="8">
        <f t="shared" si="1"/>
        <v>2.247572952402206</v>
      </c>
      <c r="D32" s="6"/>
    </row>
    <row r="33" spans="1:4" ht="12.75">
      <c r="A33" s="2">
        <v>90</v>
      </c>
      <c r="B33" s="9">
        <f t="shared" si="0"/>
        <v>0.5293222498080711</v>
      </c>
      <c r="C33" s="8">
        <f t="shared" si="1"/>
        <v>2.3097513220313264</v>
      </c>
      <c r="D33" s="6"/>
    </row>
    <row r="34" spans="1:4" ht="12.75">
      <c r="A34" s="2">
        <v>105</v>
      </c>
      <c r="B34" s="9">
        <f t="shared" si="0"/>
        <v>0.5510928876125472</v>
      </c>
      <c r="C34" s="8">
        <f t="shared" si="1"/>
        <v>2.3636204379738674</v>
      </c>
      <c r="D34" s="6"/>
    </row>
    <row r="35" spans="1:4" ht="12.75">
      <c r="A35" s="2">
        <v>120</v>
      </c>
      <c r="B35" s="9">
        <f t="shared" si="0"/>
        <v>0.5702864922803805</v>
      </c>
      <c r="C35" s="8">
        <f t="shared" si="1"/>
        <v>2.411112960907405</v>
      </c>
      <c r="D35" s="6"/>
    </row>
    <row r="36" spans="1:4" ht="12.75">
      <c r="A36" s="2">
        <v>150</v>
      </c>
      <c r="B36" s="9">
        <f t="shared" si="0"/>
        <v>0.6029068008565655</v>
      </c>
      <c r="C36" s="8">
        <f t="shared" si="1"/>
        <v>2.4918284273330453</v>
      </c>
      <c r="D36" s="6"/>
    </row>
    <row r="37" spans="1:4" ht="12.75">
      <c r="A37" s="2">
        <v>180</v>
      </c>
      <c r="B37" s="9">
        <f t="shared" si="0"/>
        <v>0.6298939079502411</v>
      </c>
      <c r="C37" s="8">
        <f t="shared" si="1"/>
        <v>2.5586051388855244</v>
      </c>
      <c r="D37" s="6"/>
    </row>
    <row r="38" spans="1:4" ht="12.75">
      <c r="A38" s="2">
        <v>240</v>
      </c>
      <c r="B38" s="9">
        <f t="shared" si="0"/>
        <v>0.6726081091613945</v>
      </c>
      <c r="C38" s="8">
        <f t="shared" si="1"/>
        <v>2.6642968635883975</v>
      </c>
      <c r="D38" s="6"/>
    </row>
    <row r="39" spans="1:4" ht="12.75">
      <c r="A39" s="2">
        <v>270</v>
      </c>
      <c r="B39" s="9">
        <f t="shared" si="0"/>
        <v>0.6899802249779742</v>
      </c>
      <c r="C39" s="8">
        <f t="shared" si="1"/>
        <v>2.7072823070786285</v>
      </c>
      <c r="D39" s="6"/>
    </row>
    <row r="40" spans="1:4" ht="12.75">
      <c r="A40" s="2">
        <v>300</v>
      </c>
      <c r="B40" s="9">
        <f t="shared" si="0"/>
        <v>0.7053883264039942</v>
      </c>
      <c r="C40" s="8">
        <f t="shared" si="1"/>
        <v>2.7454080069146736</v>
      </c>
      <c r="D40" s="6"/>
    </row>
    <row r="41" spans="1:4" ht="12.75">
      <c r="A41" s="2">
        <v>330</v>
      </c>
      <c r="B41" s="9">
        <f t="shared" si="0"/>
        <v>0.7191801557014537</v>
      </c>
      <c r="C41" s="8">
        <f t="shared" si="1"/>
        <v>2.779534414149827</v>
      </c>
      <c r="D41" s="6"/>
    </row>
    <row r="42" spans="1:4" ht="12.75">
      <c r="A42" s="2">
        <v>365</v>
      </c>
      <c r="B42" s="9">
        <f t="shared" si="0"/>
        <v>0.7335769163597329</v>
      </c>
      <c r="C42" s="8">
        <f t="shared" si="1"/>
        <v>2.8151576593695147</v>
      </c>
      <c r="D42" s="6"/>
    </row>
    <row r="43" spans="1:4" ht="12.75">
      <c r="A43" s="2">
        <v>547</v>
      </c>
      <c r="B43" s="9">
        <f t="shared" si="0"/>
        <v>0.7886108533658314</v>
      </c>
      <c r="C43" s="8">
        <f t="shared" si="1"/>
        <v>2.951333253303951</v>
      </c>
      <c r="D43" s="6"/>
    </row>
    <row r="44" spans="1:4" ht="12.75">
      <c r="A44" s="2">
        <v>730</v>
      </c>
      <c r="B44" s="9">
        <f t="shared" si="0"/>
        <v>0.8242784592063889</v>
      </c>
      <c r="C44" s="8">
        <f t="shared" si="1"/>
        <v>3.0395889310509214</v>
      </c>
      <c r="D44" s="6"/>
    </row>
    <row r="45" spans="1:4" ht="12.75">
      <c r="A45" s="2">
        <v>1095</v>
      </c>
      <c r="B45" s="9">
        <f t="shared" si="0"/>
        <v>0.8680134860768363</v>
      </c>
      <c r="C45" s="8">
        <f t="shared" si="1"/>
        <v>3.1478065797203554</v>
      </c>
      <c r="D45" s="6"/>
    </row>
    <row r="46" spans="1:4" ht="12.75">
      <c r="A46" s="2">
        <v>1460</v>
      </c>
      <c r="B46" s="9">
        <f t="shared" si="0"/>
        <v>0.894114195080529</v>
      </c>
      <c r="C46" s="8">
        <f t="shared" si="1"/>
        <v>3.2123899939560823</v>
      </c>
      <c r="D46" s="6"/>
    </row>
    <row r="47" spans="1:4" ht="12.75">
      <c r="A47" s="2">
        <v>1825</v>
      </c>
      <c r="B47" s="9">
        <f t="shared" si="0"/>
        <v>0.9115292569482336</v>
      </c>
      <c r="C47" s="8">
        <f t="shared" si="1"/>
        <v>3.255481702858842</v>
      </c>
      <c r="D47" s="6"/>
    </row>
    <row r="48" spans="1:4" ht="12.75">
      <c r="A48" s="2">
        <v>3650</v>
      </c>
      <c r="B48" s="9">
        <f t="shared" si="0"/>
        <v>0.9513464943619221</v>
      </c>
      <c r="C48" s="8">
        <f t="shared" si="1"/>
        <v>3.3540052003334395</v>
      </c>
      <c r="D48" s="6"/>
    </row>
    <row r="49" spans="1:4" ht="12.75">
      <c r="A49" s="2">
        <v>36500</v>
      </c>
      <c r="B49" s="9">
        <f t="shared" si="0"/>
        <v>0.9946366476988906</v>
      </c>
      <c r="C49" s="8">
        <f t="shared" si="1"/>
        <v>3.46112205700174</v>
      </c>
      <c r="D49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Capitolo 5 - esempi</dc:title>
  <dc:subject/>
  <dc:creator>Aurelio Ghersi</dc:creator>
  <cp:keywords/>
  <dc:description/>
  <cp:lastModifiedBy>Aurelio Ghersi</cp:lastModifiedBy>
  <dcterms:created xsi:type="dcterms:W3CDTF">2004-12-19T10:30:24Z</dcterms:created>
  <dcterms:modified xsi:type="dcterms:W3CDTF">2005-02-07T11:08:00Z</dcterms:modified>
  <cp:category/>
  <cp:version/>
  <cp:contentType/>
  <cp:contentStatus/>
</cp:coreProperties>
</file>