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Spiegazioni" sheetId="1" r:id="rId1"/>
    <sheet name="Es 1-2" sheetId="2" r:id="rId2"/>
    <sheet name="Es 3-4-5" sheetId="3" r:id="rId3"/>
    <sheet name="Es 6" sheetId="4" r:id="rId4"/>
    <sheet name="Es 7" sheetId="5" r:id="rId5"/>
    <sheet name="Es 8-9" sheetId="6" r:id="rId6"/>
    <sheet name="Es 10-11-12" sheetId="7" r:id="rId7"/>
    <sheet name="Es 13" sheetId="8" r:id="rId8"/>
    <sheet name="Es 14" sheetId="9" r:id="rId9"/>
    <sheet name="Es 15" sheetId="10" r:id="rId10"/>
    <sheet name="Es 16" sheetId="11" r:id="rId11"/>
    <sheet name="ex Es 14-15" sheetId="12" r:id="rId12"/>
    <sheet name="ex Es 16" sheetId="13" r:id="rId13"/>
    <sheet name="Es 17" sheetId="14" r:id="rId14"/>
    <sheet name="Es 18" sheetId="15" r:id="rId15"/>
    <sheet name="Es 19" sheetId="16" r:id="rId16"/>
    <sheet name="Es 20" sheetId="17" r:id="rId17"/>
    <sheet name="Es 21" sheetId="18" r:id="rId18"/>
    <sheet name="Es 22" sheetId="19" r:id="rId19"/>
    <sheet name="Es 23" sheetId="20" r:id="rId20"/>
    <sheet name="Foglio1" sheetId="21" r:id="rId21"/>
    <sheet name="Es 24-25-26" sheetId="22" r:id="rId22"/>
    <sheet name="Es 27" sheetId="23" r:id="rId23"/>
  </sheets>
  <definedNames/>
  <calcPr fullCalcOnLoad="1"/>
</workbook>
</file>

<file path=xl/sharedStrings.xml><?xml version="1.0" encoding="utf-8"?>
<sst xmlns="http://schemas.openxmlformats.org/spreadsheetml/2006/main" count="976" uniqueCount="188">
  <si>
    <t>Esempi 1 - 2</t>
  </si>
  <si>
    <t>Sezione rettangolare nel primo stadio</t>
  </si>
  <si>
    <t>b</t>
  </si>
  <si>
    <t>cm</t>
  </si>
  <si>
    <t>A</t>
  </si>
  <si>
    <t>cm2</t>
  </si>
  <si>
    <t>h</t>
  </si>
  <si>
    <t>cm3</t>
  </si>
  <si>
    <t>c</t>
  </si>
  <si>
    <t>dGinf</t>
  </si>
  <si>
    <t>As</t>
  </si>
  <si>
    <t>dGsup</t>
  </si>
  <si>
    <t>A's</t>
  </si>
  <si>
    <t>d</t>
  </si>
  <si>
    <t>I</t>
  </si>
  <si>
    <t>cm4</t>
  </si>
  <si>
    <t>Es</t>
  </si>
  <si>
    <t>MPa</t>
  </si>
  <si>
    <t>sig c,sup</t>
  </si>
  <si>
    <t>Ec</t>
  </si>
  <si>
    <t>sig c,inf</t>
  </si>
  <si>
    <t>n</t>
  </si>
  <si>
    <t>sig s,sup</t>
  </si>
  <si>
    <t>M</t>
  </si>
  <si>
    <t>kNm</t>
  </si>
  <si>
    <t>sig s,inf</t>
  </si>
  <si>
    <t>fcfk</t>
  </si>
  <si>
    <t>Esempi 3 - 4 - 5</t>
  </si>
  <si>
    <t>Sezione rettangolare nel secondo stadio</t>
  </si>
  <si>
    <t>3)</t>
  </si>
  <si>
    <t>x</t>
  </si>
  <si>
    <t>4)</t>
  </si>
  <si>
    <t>sig c,amm</t>
  </si>
  <si>
    <t>5)</t>
  </si>
  <si>
    <t>Mrc</t>
  </si>
  <si>
    <t>sig s,amm</t>
  </si>
  <si>
    <t>Mrs</t>
  </si>
  <si>
    <t>Esempio 6</t>
  </si>
  <si>
    <t>Sezione a T (assimilabile a rettangolare) nel secondo stadio</t>
  </si>
  <si>
    <t>B</t>
  </si>
  <si>
    <t>s</t>
  </si>
  <si>
    <t>Esempio 7</t>
  </si>
  <si>
    <t>Sezione a T (non assimilabile a rettangolare) nel secondo stadio</t>
  </si>
  <si>
    <t>t.1</t>
  </si>
  <si>
    <t>t.2</t>
  </si>
  <si>
    <t>t.3</t>
  </si>
  <si>
    <t>t.4</t>
  </si>
  <si>
    <t>somma</t>
  </si>
  <si>
    <t>Esempi 8 - 9</t>
  </si>
  <si>
    <t>Sezione a T (vista come sezione generica)</t>
  </si>
  <si>
    <t>Sn</t>
  </si>
  <si>
    <t>Esempi 10 - 11 - 12</t>
  </si>
  <si>
    <t>Progetto di trave emergente</t>
  </si>
  <si>
    <t>Rck</t>
  </si>
  <si>
    <t>10)</t>
  </si>
  <si>
    <t>r'</t>
  </si>
  <si>
    <t>12)</t>
  </si>
  <si>
    <t>Acciaio</t>
  </si>
  <si>
    <t>FeB44k</t>
  </si>
  <si>
    <t>m</t>
  </si>
  <si>
    <t>M s.a.</t>
  </si>
  <si>
    <t>11)</t>
  </si>
  <si>
    <t>c/d</t>
  </si>
  <si>
    <t>r</t>
  </si>
  <si>
    <t>s'</t>
  </si>
  <si>
    <t>u</t>
  </si>
  <si>
    <t>Esempio 13</t>
  </si>
  <si>
    <t>Progetto di trave a spessore</t>
  </si>
  <si>
    <t>13)</t>
  </si>
  <si>
    <t>Verifica di sezione rettangolare allo SLU, per tentativi</t>
  </si>
  <si>
    <t>x [cm]</t>
  </si>
  <si>
    <r>
      <t>e</t>
    </r>
    <r>
      <rPr>
        <sz val="10"/>
        <rFont val="Arial"/>
        <family val="0"/>
      </rPr>
      <t>c</t>
    </r>
  </si>
  <si>
    <t>Nc [kN]</t>
  </si>
  <si>
    <r>
      <t>e</t>
    </r>
    <r>
      <rPr>
        <sz val="10"/>
        <rFont val="Arial"/>
        <family val="0"/>
      </rPr>
      <t>'s</t>
    </r>
  </si>
  <si>
    <t>N's [kN]</t>
  </si>
  <si>
    <r>
      <t>e</t>
    </r>
    <r>
      <rPr>
        <sz val="10"/>
        <rFont val="Arial"/>
        <family val="0"/>
      </rPr>
      <t>s</t>
    </r>
  </si>
  <si>
    <t>Ns [kN]</t>
  </si>
  <si>
    <t>N [kN]</t>
  </si>
  <si>
    <r>
      <t>a</t>
    </r>
    <r>
      <rPr>
        <sz val="10"/>
        <rFont val="Arial"/>
        <family val="0"/>
      </rPr>
      <t xml:space="preserve"> fcd</t>
    </r>
  </si>
  <si>
    <t>fyd</t>
  </si>
  <si>
    <r>
      <t>e</t>
    </r>
    <r>
      <rPr>
        <sz val="10"/>
        <rFont val="Arial"/>
        <family val="0"/>
      </rPr>
      <t>yd</t>
    </r>
  </si>
  <si>
    <t>N'sd max</t>
  </si>
  <si>
    <t>kN</t>
  </si>
  <si>
    <t>Nsd max</t>
  </si>
  <si>
    <t>k</t>
  </si>
  <si>
    <t>Nc max/x</t>
  </si>
  <si>
    <t>kN/cm</t>
  </si>
  <si>
    <t>kx</t>
  </si>
  <si>
    <t>z</t>
  </si>
  <si>
    <t>chi (ecu)</t>
  </si>
  <si>
    <t>m-1</t>
  </si>
  <si>
    <t>MRd</t>
  </si>
  <si>
    <t>chi (esu)</t>
  </si>
  <si>
    <t>Verifica di sezione rettangolare allo SLU</t>
  </si>
  <si>
    <t>g</t>
  </si>
  <si>
    <t>w</t>
  </si>
  <si>
    <t>B' )</t>
  </si>
  <si>
    <t>x 1</t>
  </si>
  <si>
    <t>w 1</t>
  </si>
  <si>
    <t>As2</t>
  </si>
  <si>
    <t>C )</t>
  </si>
  <si>
    <t>x 2</t>
  </si>
  <si>
    <t>ecu</t>
  </si>
  <si>
    <t>w 2</t>
  </si>
  <si>
    <t>As1</t>
  </si>
  <si>
    <t>ec1</t>
  </si>
  <si>
    <t>eyd</t>
  </si>
  <si>
    <t>C' )</t>
  </si>
  <si>
    <t>x 3</t>
  </si>
  <si>
    <t>esu</t>
  </si>
  <si>
    <t>w 3</t>
  </si>
  <si>
    <t>As3</t>
  </si>
  <si>
    <t>21)</t>
  </si>
  <si>
    <t>22)</t>
  </si>
  <si>
    <t>As max</t>
  </si>
  <si>
    <t>24)</t>
  </si>
  <si>
    <r>
      <t>8)</t>
    </r>
    <r>
      <rPr>
        <sz val="10"/>
        <rFont val="Arial"/>
        <family val="2"/>
      </rPr>
      <t xml:space="preserve"> procedimento iterativo</t>
    </r>
  </si>
  <si>
    <r>
      <t>9)</t>
    </r>
    <r>
      <rPr>
        <sz val="10"/>
        <rFont val="Arial"/>
        <family val="2"/>
      </rPr>
      <t xml:space="preserve"> dimezzamento</t>
    </r>
  </si>
  <si>
    <t>Esempio 16</t>
  </si>
  <si>
    <t>Verifica di sezione di solaio allo SLU</t>
  </si>
  <si>
    <t>w1</t>
  </si>
  <si>
    <t>w2</t>
  </si>
  <si>
    <t>w3</t>
  </si>
  <si>
    <t>x1</t>
  </si>
  <si>
    <t>x2</t>
  </si>
  <si>
    <t>x3</t>
  </si>
  <si>
    <t>campo</t>
  </si>
  <si>
    <t>==&gt;</t>
  </si>
  <si>
    <r>
      <t>e</t>
    </r>
    <r>
      <rPr>
        <sz val="10"/>
        <rFont val="Arial"/>
        <family val="2"/>
      </rPr>
      <t>c</t>
    </r>
  </si>
  <si>
    <r>
      <t>h</t>
    </r>
    <r>
      <rPr>
        <sz val="8"/>
        <rFont val="Arial"/>
        <family val="2"/>
      </rPr>
      <t>0</t>
    </r>
  </si>
  <si>
    <t>k =</t>
  </si>
  <si>
    <t>z/d =</t>
  </si>
  <si>
    <r>
      <t>w</t>
    </r>
    <r>
      <rPr>
        <sz val="10"/>
        <rFont val="Arial"/>
        <family val="2"/>
      </rPr>
      <t>(1-s'u)</t>
    </r>
    <r>
      <rPr>
        <sz val="10"/>
        <rFont val="Symbol"/>
        <family val="1"/>
      </rPr>
      <t>-xb</t>
    </r>
  </si>
  <si>
    <t>Esempio 17</t>
  </si>
  <si>
    <t>Esempio 18</t>
  </si>
  <si>
    <t>Esempio 19</t>
  </si>
  <si>
    <t>Esempio 20</t>
  </si>
  <si>
    <t>Questo foglio di lavoro è stato utilizzato per risolvere tutti gli esempi proposti</t>
  </si>
  <si>
    <t>Esempi 14 - 15</t>
  </si>
  <si>
    <t>baric.compr.</t>
  </si>
  <si>
    <t>con</t>
  </si>
  <si>
    <t>14)</t>
  </si>
  <si>
    <t>15)</t>
  </si>
  <si>
    <t>Esempio 21</t>
  </si>
  <si>
    <r>
      <t>x</t>
    </r>
    <r>
      <rPr>
        <sz val="10"/>
        <rFont val="Arial"/>
        <family val="2"/>
      </rPr>
      <t>'3</t>
    </r>
  </si>
  <si>
    <r>
      <t>w</t>
    </r>
    <r>
      <rPr>
        <sz val="10"/>
        <rFont val="Arial"/>
        <family val="2"/>
      </rPr>
      <t>'3</t>
    </r>
  </si>
  <si>
    <t>u=0</t>
  </si>
  <si>
    <t>Esempio 22</t>
  </si>
  <si>
    <t>Esempio 23</t>
  </si>
  <si>
    <t>c1</t>
  </si>
  <si>
    <t>c2</t>
  </si>
  <si>
    <t>Esempi 24 - 25 - 26</t>
  </si>
  <si>
    <t>Esempio 27</t>
  </si>
  <si>
    <t>Nc</t>
  </si>
  <si>
    <t>Ns</t>
  </si>
  <si>
    <t>N's</t>
  </si>
  <si>
    <r>
      <t>1/2</t>
    </r>
    <r>
      <rPr>
        <sz val="10"/>
        <rFont val="Symbol"/>
        <family val="1"/>
      </rPr>
      <t>b</t>
    </r>
  </si>
  <si>
    <t>u1</t>
  </si>
  <si>
    <t>x/d</t>
  </si>
  <si>
    <t>Esempio 14</t>
  </si>
  <si>
    <t>x lim</t>
  </si>
  <si>
    <t>Esempio 15</t>
  </si>
  <si>
    <t>Verifica di sezione circolare allo SLU</t>
  </si>
  <si>
    <t>rs</t>
  </si>
  <si>
    <r>
      <t>e</t>
    </r>
    <r>
      <rPr>
        <sz val="10"/>
        <rFont val="Arial"/>
        <family val="0"/>
      </rPr>
      <t>s1</t>
    </r>
  </si>
  <si>
    <r>
      <t>e</t>
    </r>
    <r>
      <rPr>
        <sz val="10"/>
        <rFont val="Arial"/>
        <family val="0"/>
      </rPr>
      <t>cu</t>
    </r>
  </si>
  <si>
    <r>
      <t>e</t>
    </r>
    <r>
      <rPr>
        <sz val="10"/>
        <rFont val="Arial"/>
        <family val="0"/>
      </rPr>
      <t>s2</t>
    </r>
  </si>
  <si>
    <r>
      <t>e</t>
    </r>
    <r>
      <rPr>
        <sz val="10"/>
        <rFont val="Arial"/>
        <family val="0"/>
      </rPr>
      <t>s3</t>
    </r>
  </si>
  <si>
    <r>
      <t>e</t>
    </r>
    <r>
      <rPr>
        <sz val="10"/>
        <rFont val="Arial"/>
        <family val="0"/>
      </rPr>
      <t>s4</t>
    </r>
  </si>
  <si>
    <t>f</t>
  </si>
  <si>
    <r>
      <t>s</t>
    </r>
    <r>
      <rPr>
        <sz val="10"/>
        <rFont val="Arial"/>
        <family val="0"/>
      </rPr>
      <t>s1</t>
    </r>
  </si>
  <si>
    <r>
      <t>s</t>
    </r>
    <r>
      <rPr>
        <sz val="10"/>
        <rFont val="Arial"/>
        <family val="0"/>
      </rPr>
      <t>s2</t>
    </r>
  </si>
  <si>
    <r>
      <t>s</t>
    </r>
    <r>
      <rPr>
        <sz val="10"/>
        <rFont val="Arial"/>
        <family val="0"/>
      </rPr>
      <t>s3</t>
    </r>
  </si>
  <si>
    <r>
      <t>s</t>
    </r>
    <r>
      <rPr>
        <sz val="10"/>
        <rFont val="Arial"/>
        <family val="0"/>
      </rPr>
      <t>s4</t>
    </r>
  </si>
  <si>
    <t>Ns4</t>
  </si>
  <si>
    <t>Ns3</t>
  </si>
  <si>
    <t>Ns2</t>
  </si>
  <si>
    <t>Ns1</t>
  </si>
  <si>
    <t>Ac</t>
  </si>
  <si>
    <t>ys4</t>
  </si>
  <si>
    <t>ys3</t>
  </si>
  <si>
    <t>ys2</t>
  </si>
  <si>
    <t>ys1</t>
  </si>
  <si>
    <t>yc</t>
  </si>
  <si>
    <t>squil</t>
  </si>
  <si>
    <t>Ssup</t>
  </si>
  <si>
    <t>nel capitolo relativo alla flessione semplice (edizione 2005)</t>
  </si>
  <si>
    <t>Mr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</si>
</sst>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7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sz val="10"/>
      <color indexed="55"/>
      <name val="Arial"/>
      <family val="2"/>
    </font>
    <font>
      <sz val="8"/>
      <name val="Arial"/>
      <family val="2"/>
    </font>
    <font>
      <i/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7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"/>
  <sheetViews>
    <sheetView tabSelected="1" workbookViewId="0" topLeftCell="A1">
      <selection activeCell="A1" sqref="A1"/>
    </sheetView>
  </sheetViews>
  <sheetFormatPr defaultColWidth="9.140625" defaultRowHeight="12.75"/>
  <sheetData>
    <row r="2" ht="12.75">
      <c r="A2" t="s">
        <v>137</v>
      </c>
    </row>
    <row r="3" ht="12.75">
      <c r="A3" t="s">
        <v>186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4" sqref="A4:D15"/>
    </sheetView>
  </sheetViews>
  <sheetFormatPr defaultColWidth="9.140625" defaultRowHeight="12.75"/>
  <sheetData>
    <row r="1" ht="12.75">
      <c r="A1" s="1" t="s">
        <v>161</v>
      </c>
    </row>
    <row r="2" ht="12.75">
      <c r="A2" s="1" t="s">
        <v>93</v>
      </c>
    </row>
    <row r="4" spans="1:7" ht="12.75">
      <c r="A4" s="2" t="s">
        <v>2</v>
      </c>
      <c r="B4" s="2">
        <v>30</v>
      </c>
      <c r="C4" t="s">
        <v>3</v>
      </c>
      <c r="E4" s="2" t="s">
        <v>160</v>
      </c>
      <c r="F4" s="15">
        <f>0.0035/(0.0035-B15)*B6</f>
        <v>8.586323213738115</v>
      </c>
      <c r="G4" t="s">
        <v>3</v>
      </c>
    </row>
    <row r="5" spans="1:3" ht="12.75">
      <c r="A5" s="2" t="s">
        <v>6</v>
      </c>
      <c r="B5" s="2">
        <v>50</v>
      </c>
      <c r="C5" t="s">
        <v>3</v>
      </c>
    </row>
    <row r="6" spans="1:3" ht="12.75">
      <c r="A6" s="2" t="s">
        <v>8</v>
      </c>
      <c r="B6" s="2">
        <v>4</v>
      </c>
      <c r="C6" t="s">
        <v>3</v>
      </c>
    </row>
    <row r="7" spans="1:7" ht="12.75">
      <c r="A7" s="2" t="s">
        <v>10</v>
      </c>
      <c r="B7" s="2">
        <v>12.56</v>
      </c>
      <c r="C7" t="s">
        <v>5</v>
      </c>
      <c r="E7" s="2" t="s">
        <v>30</v>
      </c>
      <c r="F7" s="15">
        <f>(B7-B8)*B13/(0.81*B4*B12)</f>
        <v>6.6182922184132105</v>
      </c>
      <c r="G7" t="s">
        <v>3</v>
      </c>
    </row>
    <row r="8" spans="1:6" ht="12.75">
      <c r="A8" s="2" t="s">
        <v>12</v>
      </c>
      <c r="B8" s="2">
        <v>7.82</v>
      </c>
      <c r="C8" t="s">
        <v>5</v>
      </c>
      <c r="F8" s="37" t="str">
        <f>IF(F7&lt;F4,"non vale","")</f>
        <v>non vale</v>
      </c>
    </row>
    <row r="9" spans="1:2" ht="12.75">
      <c r="A9" s="2" t="s">
        <v>65</v>
      </c>
      <c r="B9" s="15">
        <f>B8/B7</f>
        <v>0.6226114649681529</v>
      </c>
    </row>
    <row r="10" spans="1:3" ht="12.75">
      <c r="A10" s="2" t="s">
        <v>13</v>
      </c>
      <c r="B10" s="2">
        <f>B5-B6</f>
        <v>46</v>
      </c>
      <c r="C10" t="s">
        <v>3</v>
      </c>
    </row>
    <row r="12" spans="1:6" ht="12.75">
      <c r="A12" s="16" t="s">
        <v>78</v>
      </c>
      <c r="B12" s="2">
        <v>11.02</v>
      </c>
      <c r="C12" t="s">
        <v>17</v>
      </c>
      <c r="E12" s="2" t="s">
        <v>64</v>
      </c>
      <c r="F12" s="2">
        <f>IF(F7&gt;F4,1,(F7-B6)/F7*0.0035/B15)</f>
        <v>0.7406529400939369</v>
      </c>
    </row>
    <row r="13" spans="1:3" ht="12.75">
      <c r="A13" s="2" t="s">
        <v>79</v>
      </c>
      <c r="B13" s="2">
        <v>373.9</v>
      </c>
      <c r="C13" t="s">
        <v>17</v>
      </c>
    </row>
    <row r="14" spans="1:3" ht="12.75">
      <c r="A14" s="2" t="s">
        <v>16</v>
      </c>
      <c r="B14" s="2">
        <v>200000</v>
      </c>
      <c r="C14" t="s">
        <v>17</v>
      </c>
    </row>
    <row r="15" spans="1:7" ht="12.75">
      <c r="A15" s="16" t="s">
        <v>80</v>
      </c>
      <c r="B15" s="2">
        <f>B13/B14</f>
        <v>0.0018694999999999999</v>
      </c>
      <c r="E15" s="2" t="s">
        <v>91</v>
      </c>
      <c r="F15" s="3">
        <f>(B7*(B10-0.416*F7)+F12*B8*(0.416*F7-B6))*B13/1000</f>
        <v>200.39484384840628</v>
      </c>
      <c r="G15" t="s">
        <v>24</v>
      </c>
    </row>
    <row r="16" ht="12.75">
      <c r="F16" s="37" t="str">
        <f>IF(F7&lt;F4,"non vale","")</f>
        <v>non vale</v>
      </c>
    </row>
    <row r="18" spans="1:9" ht="12.75">
      <c r="A18" s="2" t="s">
        <v>157</v>
      </c>
      <c r="B18" s="2">
        <f>0.0035/B15*B9</f>
        <v>1.1656272411813509</v>
      </c>
      <c r="E18" s="2" t="s">
        <v>30</v>
      </c>
      <c r="F18" s="5">
        <f>B19/(2*0.81)*(1-B18+SQRT((1-B18)^2+(4*0.81)/B19*B18*B6/B10))*B10</f>
        <v>7.706074393627816</v>
      </c>
      <c r="G18" t="s">
        <v>3</v>
      </c>
      <c r="H18" s="2" t="s">
        <v>153</v>
      </c>
      <c r="I18" s="5">
        <f>-0.81*B4*F18*B12/10</f>
        <v>-206.35788375720185</v>
      </c>
    </row>
    <row r="19" spans="1:9" ht="12.75">
      <c r="A19" s="16" t="s">
        <v>95</v>
      </c>
      <c r="B19" s="2">
        <f>B7*B13/(B4*B10*B12)</f>
        <v>0.30880507114863626</v>
      </c>
      <c r="E19" s="2" t="s">
        <v>64</v>
      </c>
      <c r="F19">
        <f>(F18-B6)/F18*0.0035/B15</f>
        <v>0.9003751712364731</v>
      </c>
      <c r="H19" s="2" t="s">
        <v>154</v>
      </c>
      <c r="I19" s="5">
        <f>B7*B13/10</f>
        <v>469.6184</v>
      </c>
    </row>
    <row r="20" spans="1:9" ht="12.75">
      <c r="A20" s="2"/>
      <c r="B20" s="2"/>
      <c r="E20" s="2" t="s">
        <v>91</v>
      </c>
      <c r="F20" s="3">
        <f>(B7*(B10-0.416*F18)+F19*B8*(0.416*F18-B6))*B13/1000</f>
        <v>198.87877306187852</v>
      </c>
      <c r="G20" t="s">
        <v>24</v>
      </c>
      <c r="H20" s="2" t="s">
        <v>155</v>
      </c>
      <c r="I20" s="5">
        <f>-B8*F19*B13/10</f>
        <v>-263.26051624279813</v>
      </c>
    </row>
    <row r="21" spans="1:9" ht="12.75">
      <c r="A21" s="2"/>
      <c r="B21" s="2"/>
      <c r="I21" s="5">
        <f>SUM(I18:I20)</f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8">
      <selection activeCell="D17" sqref="D17"/>
    </sheetView>
  </sheetViews>
  <sheetFormatPr defaultColWidth="9.140625" defaultRowHeight="12.75"/>
  <sheetData>
    <row r="1" ht="12.75">
      <c r="A1" s="1" t="s">
        <v>118</v>
      </c>
    </row>
    <row r="2" ht="12.75">
      <c r="A2" s="1" t="s">
        <v>162</v>
      </c>
    </row>
    <row r="4" spans="1:11" ht="12.75">
      <c r="A4" s="2" t="s">
        <v>63</v>
      </c>
      <c r="B4" s="2">
        <v>20</v>
      </c>
      <c r="C4" t="s">
        <v>3</v>
      </c>
      <c r="E4" s="2" t="s">
        <v>179</v>
      </c>
      <c r="F4" s="2">
        <f>-B6</f>
        <v>-16</v>
      </c>
      <c r="G4" t="s">
        <v>3</v>
      </c>
      <c r="I4" s="16" t="s">
        <v>78</v>
      </c>
      <c r="J4" s="2">
        <v>11.02</v>
      </c>
      <c r="K4" t="s">
        <v>17</v>
      </c>
    </row>
    <row r="5" spans="1:11" ht="12.75">
      <c r="A5" s="2" t="s">
        <v>8</v>
      </c>
      <c r="B5" s="2">
        <v>4</v>
      </c>
      <c r="C5" t="s">
        <v>3</v>
      </c>
      <c r="E5" s="2" t="s">
        <v>180</v>
      </c>
      <c r="F5" s="2">
        <f>-B6/2</f>
        <v>-8</v>
      </c>
      <c r="G5" t="s">
        <v>3</v>
      </c>
      <c r="I5" s="2" t="s">
        <v>79</v>
      </c>
      <c r="J5" s="2">
        <v>373.9</v>
      </c>
      <c r="K5" t="s">
        <v>17</v>
      </c>
    </row>
    <row r="6" spans="1:11" ht="12.75">
      <c r="A6" s="2" t="s">
        <v>163</v>
      </c>
      <c r="B6" s="2">
        <f>B4-B5</f>
        <v>16</v>
      </c>
      <c r="C6" t="s">
        <v>3</v>
      </c>
      <c r="E6" s="2" t="s">
        <v>181</v>
      </c>
      <c r="F6" s="2">
        <f>B6/2</f>
        <v>8</v>
      </c>
      <c r="G6" t="s">
        <v>3</v>
      </c>
      <c r="I6" s="2" t="s">
        <v>16</v>
      </c>
      <c r="J6" s="2">
        <v>200000</v>
      </c>
      <c r="K6" t="s">
        <v>17</v>
      </c>
    </row>
    <row r="7" spans="1:10" ht="12.75">
      <c r="A7" s="2" t="s">
        <v>104</v>
      </c>
      <c r="B7" s="2">
        <v>1.54</v>
      </c>
      <c r="C7" t="s">
        <v>5</v>
      </c>
      <c r="E7" s="2" t="s">
        <v>182</v>
      </c>
      <c r="F7" s="2">
        <f>B6</f>
        <v>16</v>
      </c>
      <c r="G7" t="s">
        <v>3</v>
      </c>
      <c r="I7" s="16" t="s">
        <v>165</v>
      </c>
      <c r="J7" s="2">
        <v>-0.0035</v>
      </c>
    </row>
    <row r="8" spans="1:10" ht="12.75">
      <c r="A8" s="2" t="s">
        <v>99</v>
      </c>
      <c r="B8" s="2">
        <f>2*B7</f>
        <v>3.08</v>
      </c>
      <c r="C8" t="s">
        <v>5</v>
      </c>
      <c r="I8" s="16" t="s">
        <v>80</v>
      </c>
      <c r="J8" s="2">
        <f>J5/J6</f>
        <v>0.0018694999999999999</v>
      </c>
    </row>
    <row r="9" spans="1:2" ht="12.75">
      <c r="A9" s="2"/>
      <c r="B9" s="15"/>
    </row>
    <row r="10" spans="1:4" ht="12.75">
      <c r="A10" s="2" t="s">
        <v>30</v>
      </c>
      <c r="B10" s="5">
        <v>15</v>
      </c>
      <c r="C10" s="5">
        <v>8</v>
      </c>
      <c r="D10" s="5">
        <v>9.301204857156986</v>
      </c>
    </row>
    <row r="11" spans="1:4" ht="12.75">
      <c r="A11" s="16" t="s">
        <v>168</v>
      </c>
      <c r="B11" s="14">
        <f>$J$7*(1-$B$4/B10+$B$6/B10)</f>
        <v>-0.0025666666666666667</v>
      </c>
      <c r="C11" s="14">
        <f>$J$7*(1-$B$4/C10+$B$6/C10)</f>
        <v>-0.00175</v>
      </c>
      <c r="D11" s="14">
        <f>$J$7*(1-$B$4/D10+$B$6/D10)</f>
        <v>-0.001994818658979709</v>
      </c>
    </row>
    <row r="12" spans="1:4" ht="12.75">
      <c r="A12" s="16" t="s">
        <v>167</v>
      </c>
      <c r="B12" s="14">
        <f>$J$7*(1-$B$4/B10+$B$6/B10/2)</f>
        <v>-0.0007000000000000002</v>
      </c>
      <c r="C12" s="14">
        <f>$J$7*(1-$B$4/C10+$B$6/C10/2)</f>
        <v>0.00175</v>
      </c>
      <c r="D12" s="14">
        <f>$J$7*(1-$B$4/D10+$B$6/D10/2)</f>
        <v>0.001015544023060874</v>
      </c>
    </row>
    <row r="13" spans="1:4" ht="12.75">
      <c r="A13" s="16" t="s">
        <v>166</v>
      </c>
      <c r="B13" s="14">
        <f>$J$7*(1-$B$4/B10-$B$6/B10/2)</f>
        <v>0.003033333333333333</v>
      </c>
      <c r="C13" s="14">
        <f>$J$7*(1-$B$4/C10-$B$6/C10/2)</f>
        <v>0.00875</v>
      </c>
      <c r="D13" s="14">
        <f>$J$7*(1-$B$4/D10-$B$6/D10/2)</f>
        <v>0.00703626938714204</v>
      </c>
    </row>
    <row r="14" spans="1:4" ht="12.75">
      <c r="A14" s="16" t="s">
        <v>164</v>
      </c>
      <c r="B14" s="14">
        <f>$J$7*(1-$B$4/B10-$B$6/B10)</f>
        <v>0.0049</v>
      </c>
      <c r="C14" s="14">
        <f>$J$7*(1-$B$4/C10-$B$6/C10)</f>
        <v>0.01225</v>
      </c>
      <c r="D14" s="14">
        <f>$J$7*(1-$B$4/D10-$B$6/D10)</f>
        <v>0.010046632069182623</v>
      </c>
    </row>
    <row r="15" spans="1:4" ht="12.75">
      <c r="A15" s="16" t="s">
        <v>169</v>
      </c>
      <c r="B15" s="19">
        <f>ACOS(($B$4-0.8*B10)/$B$4)</f>
        <v>1.1592794807274085</v>
      </c>
      <c r="C15" s="19">
        <f>ACOS(($B$4-0.8*C10)/$B$4)</f>
        <v>0.8230336921349761</v>
      </c>
      <c r="D15" s="19">
        <f>ACOS(($B$4-0.8*D10)/$B$4)</f>
        <v>0.8918777058083487</v>
      </c>
    </row>
    <row r="16" spans="1:4" ht="12.75">
      <c r="A16" s="13" t="s">
        <v>178</v>
      </c>
      <c r="B16" s="3">
        <f>$B$4^2/2*(2*B15-SIN(2*B15))</f>
        <v>317.06937005237654</v>
      </c>
      <c r="C16" s="3">
        <f>$B$4^2/2*(2*C15-SIN(2*C15))</f>
        <v>129.7797826095123</v>
      </c>
      <c r="D16" s="3">
        <f>$B$4^2/2*(2*D15-SIN(2*D15))</f>
        <v>161.26912568472608</v>
      </c>
    </row>
    <row r="17" spans="1:4" ht="12.75">
      <c r="A17" s="13" t="s">
        <v>183</v>
      </c>
      <c r="B17" s="3">
        <f>-2/3*$B$4^3*SIN(B15)^3/B16</f>
        <v>-12.949809128526562</v>
      </c>
      <c r="C17" s="3">
        <f>-2/3*$B$4^3*SIN(C15)^3/C16</f>
        <v>-16.19871541577305</v>
      </c>
      <c r="D17" s="5">
        <f>-2/3*$B$4^3*SIN(D15)^3/D16</f>
        <v>-15.58865385774411</v>
      </c>
    </row>
    <row r="18" spans="1:4" ht="12.75">
      <c r="A18" s="16" t="s">
        <v>173</v>
      </c>
      <c r="B18" s="3">
        <f aca="true" t="shared" si="0" ref="B18:D21">IF(ABS(B11)&lt;$J$8,B11*$J$6,SIGN(B11)*$J$5)</f>
        <v>-373.9</v>
      </c>
      <c r="C18" s="3">
        <f t="shared" si="0"/>
        <v>-350</v>
      </c>
      <c r="D18" s="3">
        <f t="shared" si="0"/>
        <v>-373.9</v>
      </c>
    </row>
    <row r="19" spans="1:4" ht="12.75">
      <c r="A19" s="16" t="s">
        <v>172</v>
      </c>
      <c r="B19" s="3">
        <f t="shared" si="0"/>
        <v>-140.00000000000003</v>
      </c>
      <c r="C19" s="3">
        <f t="shared" si="0"/>
        <v>350</v>
      </c>
      <c r="D19" s="3">
        <f t="shared" si="0"/>
        <v>203.1088046121748</v>
      </c>
    </row>
    <row r="20" spans="1:4" ht="12.75">
      <c r="A20" s="16" t="s">
        <v>171</v>
      </c>
      <c r="B20" s="3">
        <f t="shared" si="0"/>
        <v>373.9</v>
      </c>
      <c r="C20" s="3">
        <f t="shared" si="0"/>
        <v>373.9</v>
      </c>
      <c r="D20" s="3">
        <f t="shared" si="0"/>
        <v>373.9</v>
      </c>
    </row>
    <row r="21" spans="1:4" ht="12.75">
      <c r="A21" s="16" t="s">
        <v>170</v>
      </c>
      <c r="B21" s="3">
        <f t="shared" si="0"/>
        <v>373.9</v>
      </c>
      <c r="C21" s="3">
        <f t="shared" si="0"/>
        <v>373.9</v>
      </c>
      <c r="D21" s="3">
        <f t="shared" si="0"/>
        <v>373.9</v>
      </c>
    </row>
    <row r="22" spans="1:4" ht="12.75">
      <c r="A22" s="13" t="s">
        <v>174</v>
      </c>
      <c r="B22" s="3">
        <f>$B$7*B18/10</f>
        <v>-57.58059999999999</v>
      </c>
      <c r="C22" s="3">
        <f>$B$7*C18/10</f>
        <v>-53.9</v>
      </c>
      <c r="D22" s="3">
        <f>$B$7*D18/10</f>
        <v>-57.58059999999999</v>
      </c>
    </row>
    <row r="23" spans="1:4" ht="12.75">
      <c r="A23" s="13" t="s">
        <v>175</v>
      </c>
      <c r="B23" s="3">
        <f aca="true" t="shared" si="1" ref="B23:D24">$B$8*B19/10</f>
        <v>-43.12000000000001</v>
      </c>
      <c r="C23" s="3">
        <f t="shared" si="1"/>
        <v>107.8</v>
      </c>
      <c r="D23" s="3">
        <f t="shared" si="1"/>
        <v>62.557511820549834</v>
      </c>
    </row>
    <row r="24" spans="1:4" ht="12.75">
      <c r="A24" s="13" t="s">
        <v>176</v>
      </c>
      <c r="B24" s="3">
        <f t="shared" si="1"/>
        <v>115.16119999999998</v>
      </c>
      <c r="C24" s="3">
        <f t="shared" si="1"/>
        <v>115.16119999999998</v>
      </c>
      <c r="D24" s="3">
        <f t="shared" si="1"/>
        <v>115.16119999999998</v>
      </c>
    </row>
    <row r="25" spans="1:4" ht="12.75">
      <c r="A25" s="13" t="s">
        <v>177</v>
      </c>
      <c r="B25" s="3">
        <f>$B$7*B21/10</f>
        <v>57.58059999999999</v>
      </c>
      <c r="C25" s="3">
        <f>$B$7*C21/10</f>
        <v>57.58059999999999</v>
      </c>
      <c r="D25" s="3">
        <f>$B$7*D21/10</f>
        <v>57.58059999999999</v>
      </c>
    </row>
    <row r="26" spans="1:4" ht="12.75">
      <c r="A26" s="13" t="s">
        <v>153</v>
      </c>
      <c r="B26" s="3">
        <f>-$J$4*B16/10</f>
        <v>-349.4104457977189</v>
      </c>
      <c r="C26" s="3">
        <f>-$J$4*C16/10</f>
        <v>-143.01732043568254</v>
      </c>
      <c r="D26" s="3">
        <f>-$J$4*D16/10</f>
        <v>-177.71857650456815</v>
      </c>
    </row>
    <row r="27" spans="1:4" ht="12.75">
      <c r="A27" s="13" t="s">
        <v>184</v>
      </c>
      <c r="B27" s="3">
        <f>SUM(B22:B26)</f>
        <v>-277.369245797719</v>
      </c>
      <c r="C27" s="3">
        <f>SUM(C22:C26)</f>
        <v>83.62447956431745</v>
      </c>
      <c r="D27" s="3">
        <f>SUM(D22:D26)</f>
        <v>0.0001353159816517291</v>
      </c>
    </row>
    <row r="28" spans="1:4" ht="12.75">
      <c r="A28" s="13" t="s">
        <v>23</v>
      </c>
      <c r="B28" s="3">
        <f>(B26*B17+B22*$F$4+B23*$F$5+B24*$F$6+B25*$F$7)/100</f>
        <v>76.33627380593836</v>
      </c>
      <c r="C28" s="3">
        <f>(C26*C17+C22*$F$4+C23*$F$5+C24*$F$6+C25*$F$7)/100</f>
        <v>41.59276073264044</v>
      </c>
      <c r="D28" s="3">
        <f>(D26*D17+D22*$F$4+D23*$F$5+D24*$F$6+D25*$F$7)/100</f>
        <v>50.33802078656329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8"/>
  <dimension ref="A1:L23"/>
  <sheetViews>
    <sheetView workbookViewId="0" topLeftCell="A1">
      <selection activeCell="A3" sqref="A3"/>
    </sheetView>
  </sheetViews>
  <sheetFormatPr defaultColWidth="9.140625" defaultRowHeight="12.75"/>
  <cols>
    <col min="4" max="12" width="8.7109375" style="0" customWidth="1"/>
  </cols>
  <sheetData>
    <row r="1" ht="12.75">
      <c r="A1" s="1" t="s">
        <v>138</v>
      </c>
    </row>
    <row r="2" ht="12.75">
      <c r="A2" s="1" t="s">
        <v>69</v>
      </c>
    </row>
    <row r="4" spans="1:12" ht="12.75">
      <c r="A4" s="2" t="s">
        <v>2</v>
      </c>
      <c r="B4" s="2">
        <v>30</v>
      </c>
      <c r="C4" t="s">
        <v>3</v>
      </c>
      <c r="D4" s="2" t="s">
        <v>70</v>
      </c>
      <c r="E4" s="16" t="s">
        <v>71</v>
      </c>
      <c r="F4" s="16" t="s">
        <v>2</v>
      </c>
      <c r="G4" s="2" t="s">
        <v>72</v>
      </c>
      <c r="H4" s="16" t="s">
        <v>73</v>
      </c>
      <c r="I4" s="2" t="s">
        <v>74</v>
      </c>
      <c r="J4" s="16" t="s">
        <v>75</v>
      </c>
      <c r="K4" s="2" t="s">
        <v>76</v>
      </c>
      <c r="L4" s="2" t="s">
        <v>77</v>
      </c>
    </row>
    <row r="5" spans="1:3" ht="12.75">
      <c r="A5" s="2" t="s">
        <v>6</v>
      </c>
      <c r="B5" s="2">
        <v>50</v>
      </c>
      <c r="C5" t="s">
        <v>3</v>
      </c>
    </row>
    <row r="6" spans="1:12" ht="12.75">
      <c r="A6" s="2" t="s">
        <v>8</v>
      </c>
      <c r="B6" s="2">
        <v>4</v>
      </c>
      <c r="C6" t="s">
        <v>3</v>
      </c>
      <c r="D6" s="2">
        <v>8.94</v>
      </c>
      <c r="E6" s="2">
        <v>-0.0035</v>
      </c>
      <c r="F6" s="17">
        <v>0.81</v>
      </c>
      <c r="G6" s="18">
        <f>-$B$4*D6*F6*$B$11/10</f>
        <v>-239.400684</v>
      </c>
      <c r="H6" s="2">
        <f>E6*(D6-$B$6)/D6</f>
        <v>-0.0019340044742729308</v>
      </c>
      <c r="I6" s="18">
        <f>IF(ABS(H6)&lt;$B$14,H6*$B$13,SIGN(H6)*$B$12)*$B$8/10</f>
        <v>-230.32239999999996</v>
      </c>
      <c r="J6" s="19">
        <f>E6*(D6-$B$9)/D6</f>
        <v>0.014508948545861301</v>
      </c>
      <c r="K6" s="18">
        <f>IF(ABS(J6)&lt;$B$14,J6*$B$13,SIGN(J6)*$B$12)*$B$7/10</f>
        <v>469.6184</v>
      </c>
      <c r="L6" s="18">
        <f>G6+I6+K6</f>
        <v>-0.10468399999996336</v>
      </c>
    </row>
    <row r="7" spans="1:12" ht="12.75">
      <c r="A7" s="2" t="s">
        <v>10</v>
      </c>
      <c r="B7" s="2">
        <v>12.56</v>
      </c>
      <c r="C7" t="s">
        <v>5</v>
      </c>
      <c r="D7" s="2">
        <f>D6</f>
        <v>8.94</v>
      </c>
      <c r="E7" s="19">
        <f>J7*D6/(D6-$B$9)</f>
        <v>-0.0024123043712898</v>
      </c>
      <c r="F7" s="15">
        <v>0.723</v>
      </c>
      <c r="G7" s="3">
        <f>-$B$4*D7*F7*$B$11/10</f>
        <v>-213.68727719999998</v>
      </c>
      <c r="H7" s="2">
        <f>J7*(D6-$B$6)/(D6-$B$9)</f>
        <v>-0.001332973556395035</v>
      </c>
      <c r="I7" s="3">
        <f>IF(ABS(H7)&lt;$B$14,H7*$B$13,SIGN(H7)*$B$12)*$B$8/10</f>
        <v>-169.14901241230433</v>
      </c>
      <c r="J7" s="15">
        <v>0.01</v>
      </c>
      <c r="K7" s="3">
        <f>IF(ABS(J7)&lt;$B$14,J7*$B$13,SIGN(J7)*$B$12)*$B$7/10</f>
        <v>469.6184</v>
      </c>
      <c r="L7" s="3">
        <f>G7+I7+K7</f>
        <v>86.7821103876957</v>
      </c>
    </row>
    <row r="8" spans="1:3" ht="12.75">
      <c r="A8" s="2" t="s">
        <v>12</v>
      </c>
      <c r="B8" s="2">
        <v>6.16</v>
      </c>
      <c r="C8" t="s">
        <v>5</v>
      </c>
    </row>
    <row r="9" spans="1:4" ht="12.75">
      <c r="A9" s="2" t="s">
        <v>13</v>
      </c>
      <c r="B9" s="2">
        <f>B5-B6</f>
        <v>46</v>
      </c>
      <c r="C9" t="s">
        <v>3</v>
      </c>
      <c r="D9" s="5">
        <f>-(I7+K7)/G7*D7</f>
        <v>12.57068909404401</v>
      </c>
    </row>
    <row r="11" spans="1:12" ht="12.75">
      <c r="A11" s="16" t="s">
        <v>78</v>
      </c>
      <c r="B11" s="2">
        <v>11.02</v>
      </c>
      <c r="C11" t="s">
        <v>17</v>
      </c>
      <c r="D11" s="2">
        <v>12.57</v>
      </c>
      <c r="E11" s="2">
        <v>-0.0035</v>
      </c>
      <c r="F11" s="20">
        <v>0.81</v>
      </c>
      <c r="G11" s="21">
        <f>-$B$4*D11*F11*$B$11/10</f>
        <v>-336.607002</v>
      </c>
      <c r="H11" s="2">
        <f>E11*(D11-$B$6)/D11</f>
        <v>-0.00238623707239459</v>
      </c>
      <c r="I11" s="21">
        <f>IF(ABS(H11)&lt;$B$14,H11*$B$13,SIGN(H11)*$B$12)*$B$8/10</f>
        <v>-230.32239999999996</v>
      </c>
      <c r="J11" s="19">
        <f>E11*(D11-$B$9)/D11</f>
        <v>0.009308273667462211</v>
      </c>
      <c r="K11" s="21">
        <f>IF(ABS(J11)&lt;$B$14,J11*$B$13,SIGN(J11)*$B$12)*$B$7/10</f>
        <v>469.6184</v>
      </c>
      <c r="L11" s="21">
        <f>G11+I11+K11</f>
        <v>-97.31100199999997</v>
      </c>
    </row>
    <row r="12" spans="1:12" ht="12.75">
      <c r="A12" s="2" t="s">
        <v>79</v>
      </c>
      <c r="B12" s="2">
        <v>373.9</v>
      </c>
      <c r="C12" t="s">
        <v>17</v>
      </c>
      <c r="D12" s="2">
        <f>D11</f>
        <v>12.57</v>
      </c>
      <c r="E12" s="2">
        <f>J12*D11/(D11-$B$9)</f>
        <v>-0.0037600957224050257</v>
      </c>
      <c r="F12" s="17">
        <v>0.81</v>
      </c>
      <c r="G12" s="18">
        <f>-$B$4*D12*F12*$B$11/10</f>
        <v>-336.607002</v>
      </c>
      <c r="H12" s="2">
        <f>J12*(D11-$B$6)/(D11-$B$9)</f>
        <v>-0.002563565659587197</v>
      </c>
      <c r="I12" s="18">
        <f>IF(ABS(H12)&lt;$B$14,H12*$B$13,SIGN(H12)*$B$12)*$B$8/10</f>
        <v>-230.32239999999996</v>
      </c>
      <c r="J12" s="15">
        <v>0.01</v>
      </c>
      <c r="K12" s="18">
        <f>IF(ABS(J12)&lt;$B$14,J12*$B$13,SIGN(J12)*$B$12)*$B$7/10</f>
        <v>469.6184</v>
      </c>
      <c r="L12" s="18">
        <f>G12+I12+K12</f>
        <v>-97.31100199999997</v>
      </c>
    </row>
    <row r="13" spans="1:3" ht="12.75">
      <c r="A13" s="2" t="s">
        <v>16</v>
      </c>
      <c r="B13" s="2">
        <v>206000</v>
      </c>
      <c r="C13" t="s">
        <v>17</v>
      </c>
    </row>
    <row r="14" spans="1:12" ht="12.75">
      <c r="A14" s="16" t="s">
        <v>80</v>
      </c>
      <c r="B14">
        <f>B12/B13</f>
        <v>0.0018150485436893202</v>
      </c>
      <c r="D14" s="2">
        <v>10.09</v>
      </c>
      <c r="E14" s="2">
        <v>-0.0035</v>
      </c>
      <c r="F14" s="17">
        <v>0.81</v>
      </c>
      <c r="G14" s="18">
        <f>-$B$4*D14*F14*$B$11/10</f>
        <v>-270.196074</v>
      </c>
      <c r="H14" s="2">
        <f>E14*(D14-$B$6)/D14</f>
        <v>-0.0021124876114965315</v>
      </c>
      <c r="I14" s="18">
        <f>IF(ABS(H14)&lt;$B$14,H14*$B$13,SIGN(H14)*$B$12)*$B$8/10</f>
        <v>-230.32239999999996</v>
      </c>
      <c r="J14" s="19">
        <f>E14*(D14-$B$9)/D14</f>
        <v>0.01245639246778989</v>
      </c>
      <c r="K14" s="18">
        <f>IF(ABS(J14)&lt;$B$14,J14*$B$13,SIGN(J14)*$B$12)*$B$7/10</f>
        <v>469.6184</v>
      </c>
      <c r="L14" s="18">
        <f>G14+I14+K14</f>
        <v>-30.90007399999996</v>
      </c>
    </row>
    <row r="15" spans="4:12" ht="12.75">
      <c r="D15" s="2">
        <f>D14</f>
        <v>10.09</v>
      </c>
      <c r="E15" s="2">
        <f>J15*D14/(D14-$B$9)</f>
        <v>-0.0028098022834864944</v>
      </c>
      <c r="F15" s="15">
        <v>0.763</v>
      </c>
      <c r="G15" s="3">
        <f>-$B$4*D15*F15*$B$11/10</f>
        <v>-254.51803019999997</v>
      </c>
      <c r="H15" s="19">
        <f>J15*(D14-$B$6)/(D14-$B$9)</f>
        <v>-0.0016959064327485382</v>
      </c>
      <c r="I15" s="3">
        <f>IF(ABS(H15)&lt;$B$14,H15*$B$13,SIGN(H15)*$B$12)*$B$8/10</f>
        <v>-215.2037426900585</v>
      </c>
      <c r="J15" s="15">
        <v>0.01</v>
      </c>
      <c r="K15" s="3">
        <f>IF(ABS(J15)&lt;$B$14,J15*$B$13,SIGN(J15)*$B$12)*$B$7/10</f>
        <v>469.6184</v>
      </c>
      <c r="L15" s="3">
        <f>G15+I15+K15</f>
        <v>-0.10337289005843786</v>
      </c>
    </row>
    <row r="16" spans="1:3" ht="12.75">
      <c r="A16" s="2" t="s">
        <v>81</v>
      </c>
      <c r="B16" s="3">
        <f>-B12*B8/10</f>
        <v>-230.32239999999996</v>
      </c>
      <c r="C16" t="s">
        <v>82</v>
      </c>
    </row>
    <row r="17" spans="1:10" ht="12.75">
      <c r="A17" s="2" t="s">
        <v>83</v>
      </c>
      <c r="B17" s="3">
        <f>B12*B7/10</f>
        <v>469.6184</v>
      </c>
      <c r="C17" t="s">
        <v>82</v>
      </c>
      <c r="H17" s="1" t="s">
        <v>141</v>
      </c>
      <c r="J17" s="1" t="s">
        <v>142</v>
      </c>
    </row>
    <row r="18" spans="1:11" ht="12.75">
      <c r="A18" s="2" t="s">
        <v>85</v>
      </c>
      <c r="B18" s="5">
        <f>-$B$4*0.81*$B$11/10</f>
        <v>-26.7786</v>
      </c>
      <c r="C18" t="s">
        <v>86</v>
      </c>
      <c r="F18" s="35" t="s">
        <v>140</v>
      </c>
      <c r="G18" s="2" t="s">
        <v>30</v>
      </c>
      <c r="H18" s="2">
        <f>D14</f>
        <v>10.09</v>
      </c>
      <c r="I18" t="s">
        <v>3</v>
      </c>
      <c r="J18" s="2">
        <f>D6</f>
        <v>8.94</v>
      </c>
      <c r="K18" s="36" t="s">
        <v>3</v>
      </c>
    </row>
    <row r="19" spans="1:10" ht="12.75">
      <c r="A19" s="2" t="s">
        <v>30</v>
      </c>
      <c r="B19" s="5">
        <f>-(B16+B17)/B18</f>
        <v>8.936090759038935</v>
      </c>
      <c r="C19" t="s">
        <v>3</v>
      </c>
      <c r="D19" s="5">
        <f>D9</f>
        <v>12.57068909404401</v>
      </c>
      <c r="E19" s="2">
        <v>10.09</v>
      </c>
      <c r="G19" s="2" t="s">
        <v>84</v>
      </c>
      <c r="H19" s="15">
        <v>0.4</v>
      </c>
      <c r="J19" s="15">
        <v>0.388</v>
      </c>
    </row>
    <row r="20" spans="1:11" ht="12.75">
      <c r="A20" s="2" t="s">
        <v>89</v>
      </c>
      <c r="B20" s="14">
        <f>-0.0035/B19*100</f>
        <v>-0.03916701491040385</v>
      </c>
      <c r="C20" t="s">
        <v>90</v>
      </c>
      <c r="D20" s="14">
        <f>-0.0035/D19*100</f>
        <v>-0.02784254684700061</v>
      </c>
      <c r="E20" s="14">
        <f>-0.0035/E19*100</f>
        <v>-0.03468780971258672</v>
      </c>
      <c r="G20" s="2" t="s">
        <v>87</v>
      </c>
      <c r="H20" s="5">
        <f>H19*$D$15</f>
        <v>4.0360000000000005</v>
      </c>
      <c r="I20" t="s">
        <v>3</v>
      </c>
      <c r="J20" s="5">
        <f>J19*$D$15</f>
        <v>3.91492</v>
      </c>
      <c r="K20" t="s">
        <v>3</v>
      </c>
    </row>
    <row r="21" spans="1:11" ht="12.75">
      <c r="A21" s="2" t="s">
        <v>92</v>
      </c>
      <c r="B21" s="14">
        <f>0.01/(B19-$B$9)*100</f>
        <v>-0.026980424366430646</v>
      </c>
      <c r="C21" t="s">
        <v>90</v>
      </c>
      <c r="D21" s="14">
        <f>0.01/(D19-$B$9)*100</f>
        <v>-0.029913868186311712</v>
      </c>
      <c r="E21" s="14">
        <f>0.01/(E19-$B$9)*100</f>
        <v>-0.027847396268448905</v>
      </c>
      <c r="G21" s="35" t="s">
        <v>139</v>
      </c>
      <c r="H21" s="5">
        <f>(I15*$B$6+G15*H20)/(I15+G15)</f>
        <v>4.0195065453977685</v>
      </c>
      <c r="I21" t="s">
        <v>3</v>
      </c>
      <c r="J21" s="5">
        <f>(I6*$B$6+G6*J20)/(I15+G15)</f>
        <v>3.956648878271776</v>
      </c>
      <c r="K21" t="s">
        <v>3</v>
      </c>
    </row>
    <row r="22" spans="7:11" ht="12.75">
      <c r="G22" s="2" t="s">
        <v>88</v>
      </c>
      <c r="H22" s="5">
        <f>$B$9-H21</f>
        <v>41.98049345460223</v>
      </c>
      <c r="I22" t="s">
        <v>3</v>
      </c>
      <c r="J22" s="5">
        <f>$B$9-J21</f>
        <v>42.04335112172822</v>
      </c>
      <c r="K22" t="s">
        <v>3</v>
      </c>
    </row>
    <row r="23" spans="7:11" ht="12.75">
      <c r="G23" s="2" t="s">
        <v>91</v>
      </c>
      <c r="H23" s="3">
        <f>K15*H22/100</f>
        <v>197.14812167360776</v>
      </c>
      <c r="I23" t="s">
        <v>24</v>
      </c>
      <c r="J23" s="3">
        <f>K6*J22/100</f>
        <v>197.44331284424214</v>
      </c>
      <c r="K23" t="s">
        <v>24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9"/>
  <dimension ref="A1:L21"/>
  <sheetViews>
    <sheetView workbookViewId="0" topLeftCell="A1">
      <selection activeCell="A3" sqref="A3"/>
    </sheetView>
  </sheetViews>
  <sheetFormatPr defaultColWidth="9.140625" defaultRowHeight="12.75"/>
  <cols>
    <col min="4" max="12" width="8.7109375" style="0" customWidth="1"/>
  </cols>
  <sheetData>
    <row r="1" ht="12.75">
      <c r="A1" s="1" t="s">
        <v>118</v>
      </c>
    </row>
    <row r="2" ht="12.75">
      <c r="A2" s="1" t="s">
        <v>93</v>
      </c>
    </row>
    <row r="4" spans="1:12" ht="12.75">
      <c r="A4" s="2" t="s">
        <v>2</v>
      </c>
      <c r="B4" s="2">
        <v>30</v>
      </c>
      <c r="C4" t="s">
        <v>3</v>
      </c>
      <c r="D4" s="22"/>
      <c r="E4" s="22" t="s">
        <v>65</v>
      </c>
      <c r="F4" s="23">
        <f>ROUND(B8/B7,3)</f>
        <v>0.49</v>
      </c>
      <c r="G4" s="22"/>
      <c r="H4" s="16" t="s">
        <v>94</v>
      </c>
      <c r="I4" s="14">
        <f>B6/B9</f>
        <v>0.08695652173913043</v>
      </c>
      <c r="J4" s="22"/>
      <c r="K4" s="22"/>
      <c r="L4" s="22"/>
    </row>
    <row r="5" spans="1:12" ht="12.75">
      <c r="A5" s="2" t="s">
        <v>6</v>
      </c>
      <c r="B5" s="2">
        <v>50</v>
      </c>
      <c r="C5" t="s">
        <v>3</v>
      </c>
      <c r="D5" s="22"/>
      <c r="E5" s="16" t="s">
        <v>95</v>
      </c>
      <c r="F5" s="24">
        <f>B7/B4/B9*B12/B11</f>
        <v>0.3088050711486362</v>
      </c>
      <c r="G5" s="22"/>
      <c r="H5" s="22"/>
      <c r="I5" s="22"/>
      <c r="J5" s="22"/>
      <c r="K5" s="22"/>
      <c r="L5" s="25"/>
    </row>
    <row r="6" spans="1:12" ht="12.75">
      <c r="A6" s="2" t="s">
        <v>8</v>
      </c>
      <c r="B6" s="2">
        <v>4</v>
      </c>
      <c r="C6" t="s">
        <v>3</v>
      </c>
      <c r="K6" s="22"/>
      <c r="L6" s="21"/>
    </row>
    <row r="7" spans="1:12" ht="12.75">
      <c r="A7" s="2" t="s">
        <v>10</v>
      </c>
      <c r="B7" s="2">
        <v>12.56</v>
      </c>
      <c r="C7" t="s">
        <v>5</v>
      </c>
      <c r="D7" s="6" t="s">
        <v>96</v>
      </c>
      <c r="E7" s="16" t="s">
        <v>97</v>
      </c>
      <c r="F7" s="23">
        <f>-B16/(B18-B16)</f>
        <v>0.16666666666666666</v>
      </c>
      <c r="G7" s="22"/>
      <c r="H7" s="22" t="s">
        <v>97</v>
      </c>
      <c r="I7" s="26">
        <f>F7*$B$9</f>
        <v>7.666666666666666</v>
      </c>
      <c r="J7" s="27" t="s">
        <v>3</v>
      </c>
      <c r="K7" s="22"/>
      <c r="L7" s="28"/>
    </row>
    <row r="8" spans="1:12" ht="12.75">
      <c r="A8" s="2" t="s">
        <v>12</v>
      </c>
      <c r="B8" s="2">
        <v>6.16</v>
      </c>
      <c r="C8" t="s">
        <v>5</v>
      </c>
      <c r="D8" s="22"/>
      <c r="E8" s="16" t="s">
        <v>2</v>
      </c>
      <c r="F8" s="23">
        <v>0.66667</v>
      </c>
      <c r="G8" s="22"/>
      <c r="H8" s="16" t="s">
        <v>84</v>
      </c>
      <c r="I8" s="22">
        <v>0.375</v>
      </c>
      <c r="J8" s="22"/>
      <c r="K8" s="22"/>
      <c r="L8" s="25"/>
    </row>
    <row r="9" spans="1:12" ht="12.75">
      <c r="A9" s="2" t="s">
        <v>13</v>
      </c>
      <c r="B9" s="2">
        <f>B5-B6</f>
        <v>46</v>
      </c>
      <c r="C9" t="s">
        <v>3</v>
      </c>
      <c r="D9" s="22"/>
      <c r="E9" s="22" t="s">
        <v>64</v>
      </c>
      <c r="F9" s="23">
        <f>MIN((F7-$I$4)/(1-F7)*$B$18/$B$17,1)</f>
        <v>0.5255613951266125</v>
      </c>
      <c r="G9" s="22"/>
      <c r="H9" s="22"/>
      <c r="I9" s="22"/>
      <c r="J9" s="22"/>
      <c r="K9" s="22"/>
      <c r="L9" s="25"/>
    </row>
    <row r="10" spans="4:12" ht="12.75">
      <c r="D10" s="22"/>
      <c r="E10" s="16" t="s">
        <v>98</v>
      </c>
      <c r="F10" s="24">
        <f>0.111/(1-F9*$F$4)</f>
        <v>0.14950000000000002</v>
      </c>
      <c r="G10" s="22"/>
      <c r="H10" s="22" t="s">
        <v>99</v>
      </c>
      <c r="I10" s="26">
        <f>F10*$B$4*$B$9*$B$11/$B$12</f>
        <v>6.080599625568334</v>
      </c>
      <c r="J10" s="27" t="s">
        <v>5</v>
      </c>
      <c r="K10" s="22"/>
      <c r="L10" s="25"/>
    </row>
    <row r="11" spans="1:12" ht="12.75">
      <c r="A11" s="16" t="s">
        <v>78</v>
      </c>
      <c r="B11" s="2">
        <v>11.02</v>
      </c>
      <c r="C11" t="s">
        <v>17</v>
      </c>
      <c r="D11" s="22"/>
      <c r="E11" s="22"/>
      <c r="F11" s="22"/>
      <c r="G11" s="22"/>
      <c r="H11" s="22"/>
      <c r="I11" s="22"/>
      <c r="J11" s="22"/>
      <c r="K11" s="22"/>
      <c r="L11" s="21"/>
    </row>
    <row r="12" spans="1:12" ht="12.75">
      <c r="A12" s="2" t="s">
        <v>79</v>
      </c>
      <c r="B12" s="2">
        <v>373.9</v>
      </c>
      <c r="C12" t="s">
        <v>17</v>
      </c>
      <c r="D12" s="6" t="s">
        <v>100</v>
      </c>
      <c r="E12" s="16" t="s">
        <v>101</v>
      </c>
      <c r="F12" s="23">
        <f>-B15/(B18-B15)</f>
        <v>0.25925925925925924</v>
      </c>
      <c r="G12" s="22"/>
      <c r="H12" s="22" t="s">
        <v>101</v>
      </c>
      <c r="I12" s="26">
        <f>F12*$B$9</f>
        <v>11.925925925925926</v>
      </c>
      <c r="J12" s="27" t="s">
        <v>3</v>
      </c>
      <c r="K12" s="22"/>
      <c r="L12" s="21"/>
    </row>
    <row r="13" spans="1:12" ht="12.75">
      <c r="A13" s="2" t="s">
        <v>16</v>
      </c>
      <c r="B13" s="2">
        <v>206000</v>
      </c>
      <c r="C13" t="s">
        <v>17</v>
      </c>
      <c r="D13" s="22"/>
      <c r="E13" s="16" t="s">
        <v>2</v>
      </c>
      <c r="F13" s="23">
        <v>0.81</v>
      </c>
      <c r="G13" s="22"/>
      <c r="H13" s="16" t="s">
        <v>84</v>
      </c>
      <c r="I13" s="22">
        <v>0.416</v>
      </c>
      <c r="J13" s="22"/>
      <c r="K13" s="22"/>
      <c r="L13" s="25"/>
    </row>
    <row r="14" spans="1:12" ht="12.75">
      <c r="A14" s="16"/>
      <c r="D14" s="22"/>
      <c r="E14" s="22" t="s">
        <v>64</v>
      </c>
      <c r="F14" s="23">
        <f>MIN((F12-$I$4)/(1-F12)*$B$18/$B$17,1)</f>
        <v>1</v>
      </c>
      <c r="G14" s="22"/>
      <c r="H14" s="22"/>
      <c r="I14" s="22"/>
      <c r="J14" s="22"/>
      <c r="K14" s="21"/>
      <c r="L14" s="21"/>
    </row>
    <row r="15" spans="1:12" ht="12.75">
      <c r="A15" s="2" t="s">
        <v>102</v>
      </c>
      <c r="B15" s="2">
        <v>-0.0035</v>
      </c>
      <c r="D15" s="22"/>
      <c r="E15" s="16" t="s">
        <v>103</v>
      </c>
      <c r="F15" s="24">
        <f>0.21/(1-F14*$F$4)</f>
        <v>0.4117647058823529</v>
      </c>
      <c r="G15" s="21"/>
      <c r="H15" s="22" t="s">
        <v>104</v>
      </c>
      <c r="I15" s="26">
        <f>F15*$B$4*$B$9*$B$11/$B$12</f>
        <v>16.74766766829759</v>
      </c>
      <c r="J15" s="27" t="s">
        <v>5</v>
      </c>
      <c r="K15" s="28"/>
      <c r="L15" s="28"/>
    </row>
    <row r="16" spans="1:12" ht="12.75">
      <c r="A16" s="2" t="s">
        <v>105</v>
      </c>
      <c r="B16" s="14">
        <v>-0.002</v>
      </c>
      <c r="D16" s="22"/>
      <c r="E16" s="22"/>
      <c r="F16" s="23"/>
      <c r="G16" s="28"/>
      <c r="H16" s="29"/>
      <c r="I16" s="28"/>
      <c r="J16" s="23"/>
      <c r="K16" s="25"/>
      <c r="L16" s="25"/>
    </row>
    <row r="17" spans="1:12" ht="12.75">
      <c r="A17" s="2" t="s">
        <v>106</v>
      </c>
      <c r="B17" s="2">
        <f>ROUND(B12/B13,5)</f>
        <v>0.00182</v>
      </c>
      <c r="D17" s="6" t="s">
        <v>107</v>
      </c>
      <c r="E17" s="16" t="s">
        <v>108</v>
      </c>
      <c r="F17" s="23">
        <f>-B15/(B17-B15)</f>
        <v>0.6578947368421053</v>
      </c>
      <c r="G17" s="22"/>
      <c r="H17" s="22" t="s">
        <v>108</v>
      </c>
      <c r="I17" s="26">
        <f>F17*$B$9</f>
        <v>30.263157894736842</v>
      </c>
      <c r="J17" s="27" t="s">
        <v>3</v>
      </c>
      <c r="K17" s="25"/>
      <c r="L17" s="25"/>
    </row>
    <row r="18" spans="1:12" ht="12.75">
      <c r="A18" s="2" t="s">
        <v>109</v>
      </c>
      <c r="B18" s="15">
        <v>0.01</v>
      </c>
      <c r="D18" s="25"/>
      <c r="E18" s="16" t="s">
        <v>2</v>
      </c>
      <c r="F18" s="23">
        <v>0.81</v>
      </c>
      <c r="G18" s="22"/>
      <c r="H18" s="16" t="s">
        <v>84</v>
      </c>
      <c r="I18" s="22">
        <v>0.416</v>
      </c>
      <c r="J18" s="22"/>
      <c r="K18" s="25"/>
      <c r="L18" s="25"/>
    </row>
    <row r="19" spans="4:12" ht="12.75">
      <c r="D19" s="25"/>
      <c r="E19" s="22" t="s">
        <v>64</v>
      </c>
      <c r="F19" s="23">
        <f>MIN((F17-$I$4)/(1-F17),1)</f>
        <v>1</v>
      </c>
      <c r="G19" s="22"/>
      <c r="H19" s="22"/>
      <c r="I19" s="22"/>
      <c r="J19" s="22"/>
      <c r="K19" s="25"/>
      <c r="L19" s="25"/>
    </row>
    <row r="20" spans="2:12" ht="12.75">
      <c r="B20" s="14"/>
      <c r="D20" s="26"/>
      <c r="E20" s="16" t="s">
        <v>110</v>
      </c>
      <c r="F20" s="24">
        <f>0.533/(1-F19*$F$4)</f>
        <v>1.0450980392156863</v>
      </c>
      <c r="G20" s="21"/>
      <c r="H20" s="22" t="s">
        <v>111</v>
      </c>
      <c r="I20" s="26">
        <f>F20*$B$4*$B$9*$B$11/$B$12</f>
        <v>42.507175558107704</v>
      </c>
      <c r="J20" s="27" t="s">
        <v>5</v>
      </c>
      <c r="K20" s="25"/>
      <c r="L20" s="25"/>
    </row>
    <row r="21" spans="1:12" ht="12.75">
      <c r="A21" s="2"/>
      <c r="B21" s="14"/>
      <c r="D21" s="24"/>
      <c r="E21" s="24"/>
      <c r="F21" s="25"/>
      <c r="G21" s="25"/>
      <c r="H21" s="25"/>
      <c r="I21" s="25"/>
      <c r="J21" s="25"/>
      <c r="K21" s="25"/>
      <c r="L21" s="2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133</v>
      </c>
    </row>
    <row r="2" ht="12.75">
      <c r="A2" s="1" t="s">
        <v>119</v>
      </c>
    </row>
    <row r="4" spans="1:9" ht="12.75">
      <c r="A4" s="16" t="s">
        <v>78</v>
      </c>
      <c r="B4" s="5">
        <f>25*0.83*0.85/1.6</f>
        <v>11.023437499999998</v>
      </c>
      <c r="C4" t="s">
        <v>17</v>
      </c>
      <c r="E4" s="2" t="s">
        <v>102</v>
      </c>
      <c r="F4" s="2">
        <v>-0.0035</v>
      </c>
      <c r="H4" s="2" t="s">
        <v>106</v>
      </c>
      <c r="I4" s="19">
        <f>B5/B6</f>
        <v>0.001582946390882229</v>
      </c>
    </row>
    <row r="5" spans="1:9" ht="12.75">
      <c r="A5" s="2" t="s">
        <v>79</v>
      </c>
      <c r="B5" s="3">
        <f>375/1.15</f>
        <v>326.0869565217392</v>
      </c>
      <c r="C5" t="s">
        <v>17</v>
      </c>
      <c r="E5" s="2" t="s">
        <v>105</v>
      </c>
      <c r="F5" s="14">
        <v>-0.002</v>
      </c>
      <c r="H5" s="2" t="s">
        <v>109</v>
      </c>
      <c r="I5" s="15">
        <v>0.01</v>
      </c>
    </row>
    <row r="6" spans="1:3" ht="12.75">
      <c r="A6" s="2" t="s">
        <v>16</v>
      </c>
      <c r="B6" s="2">
        <v>206000</v>
      </c>
      <c r="C6" t="s">
        <v>17</v>
      </c>
    </row>
    <row r="7" ht="12.75">
      <c r="A7" s="16"/>
    </row>
    <row r="8" spans="1:6" ht="12.75">
      <c r="A8" s="2" t="s">
        <v>2</v>
      </c>
      <c r="B8" s="2">
        <v>100</v>
      </c>
      <c r="C8" t="s">
        <v>3</v>
      </c>
      <c r="E8" s="2" t="s">
        <v>65</v>
      </c>
      <c r="F8" s="15">
        <f>B12/B11</f>
        <v>0</v>
      </c>
    </row>
    <row r="9" spans="1:6" ht="12.75">
      <c r="A9" s="2" t="s">
        <v>6</v>
      </c>
      <c r="B9" s="2">
        <v>22</v>
      </c>
      <c r="C9" t="s">
        <v>3</v>
      </c>
      <c r="E9" s="2"/>
      <c r="F9" s="2"/>
    </row>
    <row r="10" spans="1:10" ht="12.75">
      <c r="A10" s="2" t="s">
        <v>8</v>
      </c>
      <c r="B10" s="2">
        <v>2</v>
      </c>
      <c r="C10" t="s">
        <v>3</v>
      </c>
      <c r="E10" s="16" t="s">
        <v>123</v>
      </c>
      <c r="F10" s="15">
        <f>-F5/(I5-F5)</f>
        <v>0.16666666666666666</v>
      </c>
      <c r="G10" s="2" t="s">
        <v>64</v>
      </c>
      <c r="H10" s="15">
        <f>MIN((F10-$B$14)/(1-F10)*$I$5/$I$4,1)</f>
        <v>0.5053866666666664</v>
      </c>
      <c r="I10" s="16" t="s">
        <v>120</v>
      </c>
      <c r="J10" s="15">
        <f>0.111/(1-H10*$F$8)</f>
        <v>0.111</v>
      </c>
    </row>
    <row r="11" spans="1:10" ht="12.75">
      <c r="A11" s="2" t="s">
        <v>10</v>
      </c>
      <c r="B11" s="2">
        <v>4.66</v>
      </c>
      <c r="C11" t="s">
        <v>5</v>
      </c>
      <c r="E11" s="16" t="s">
        <v>124</v>
      </c>
      <c r="F11" s="15">
        <f>-F4/(I5-F4)</f>
        <v>0.25925925925925924</v>
      </c>
      <c r="G11" s="2" t="s">
        <v>64</v>
      </c>
      <c r="H11" s="15">
        <f>MIN((F11-$B$14)/(1-F11)*$I$5/$I$4,1)</f>
        <v>1</v>
      </c>
      <c r="I11" s="16" t="s">
        <v>121</v>
      </c>
      <c r="J11" s="15">
        <f>0.81*F11/(1-H11*$F$8)</f>
        <v>0.21</v>
      </c>
    </row>
    <row r="12" spans="1:10" ht="12.75">
      <c r="A12" s="2" t="s">
        <v>12</v>
      </c>
      <c r="B12" s="2">
        <v>0</v>
      </c>
      <c r="C12" t="s">
        <v>5</v>
      </c>
      <c r="E12" s="16" t="s">
        <v>125</v>
      </c>
      <c r="F12" s="15">
        <f>-F4/(I4-F4)</f>
        <v>0.6885770045260142</v>
      </c>
      <c r="G12" s="2" t="s">
        <v>64</v>
      </c>
      <c r="H12" s="15">
        <f>MIN((F12-$B$14)/(1-F12),1)</f>
        <v>1</v>
      </c>
      <c r="I12" s="16" t="s">
        <v>122</v>
      </c>
      <c r="J12" s="15">
        <f>17/21*F12/(1-H12*$F$8)</f>
        <v>0.5574194798543924</v>
      </c>
    </row>
    <row r="13" spans="1:10" ht="12.75">
      <c r="A13" s="2" t="s">
        <v>13</v>
      </c>
      <c r="B13" s="2">
        <f>B9-B10</f>
        <v>20</v>
      </c>
      <c r="C13" t="s">
        <v>3</v>
      </c>
      <c r="J13" s="2"/>
    </row>
    <row r="14" spans="1:9" ht="12.75">
      <c r="A14" s="16" t="s">
        <v>94</v>
      </c>
      <c r="B14" s="15">
        <f>B10/B13</f>
        <v>0.1</v>
      </c>
      <c r="E14" s="16" t="s">
        <v>95</v>
      </c>
      <c r="F14" s="14">
        <f>B11/(B8*B13)*B5/B4</f>
        <v>0.06892429051243339</v>
      </c>
      <c r="G14" s="30" t="s">
        <v>127</v>
      </c>
      <c r="H14" s="2" t="s">
        <v>126</v>
      </c>
      <c r="I14" s="2" t="str">
        <f>IF(F14&lt;J10,"2a",IF(F14&lt;J11,"2b",IF(F14&lt;J12,"3","4")))</f>
        <v>2a</v>
      </c>
    </row>
    <row r="16" spans="1:6" ht="12.75">
      <c r="A16" s="16" t="s">
        <v>30</v>
      </c>
      <c r="B16" s="16" t="s">
        <v>128</v>
      </c>
      <c r="C16" s="16" t="s">
        <v>129</v>
      </c>
      <c r="D16" s="16" t="s">
        <v>2</v>
      </c>
      <c r="E16" s="31" t="s">
        <v>64</v>
      </c>
      <c r="F16" s="32" t="s">
        <v>132</v>
      </c>
    </row>
    <row r="17" spans="1:6" ht="12.75">
      <c r="A17" s="2">
        <v>0</v>
      </c>
      <c r="B17" s="2">
        <f aca="true" t="shared" si="0" ref="B17:B22">-A17/(1-A17)*$I$5</f>
        <v>0</v>
      </c>
      <c r="C17" s="2">
        <f aca="true" t="shared" si="1" ref="C17:C22">B17/$F$5</f>
        <v>0</v>
      </c>
      <c r="D17" s="2">
        <f aca="true" t="shared" si="2" ref="D17:D22">C17*(1-C17/3)</f>
        <v>0</v>
      </c>
      <c r="E17" s="15">
        <f aca="true" t="shared" si="3" ref="E17:E22">IF($F$8=0,0,MIN((A17-$B$14)/(1-A17)*$I$5/$I$4,1))</f>
        <v>0</v>
      </c>
      <c r="F17" s="33">
        <f aca="true" t="shared" si="4" ref="F17:F22">$F$14*(1-E17*$F$8)-A17*D17</f>
        <v>0.06892429051243339</v>
      </c>
    </row>
    <row r="18" spans="1:6" ht="12.75">
      <c r="A18" s="15">
        <f>F10</f>
        <v>0.16666666666666666</v>
      </c>
      <c r="B18" s="19">
        <f t="shared" si="0"/>
        <v>-0.002</v>
      </c>
      <c r="C18" s="14">
        <f t="shared" si="1"/>
        <v>1</v>
      </c>
      <c r="D18" s="14">
        <f t="shared" si="2"/>
        <v>0.6666666666666667</v>
      </c>
      <c r="E18" s="15">
        <f t="shared" si="3"/>
        <v>0</v>
      </c>
      <c r="F18" s="33">
        <f t="shared" si="4"/>
        <v>-0.04218682059867773</v>
      </c>
    </row>
    <row r="19" spans="1:6" ht="12.75">
      <c r="A19" s="15">
        <v>0.1</v>
      </c>
      <c r="B19" s="19">
        <f t="shared" si="0"/>
        <v>-0.0011111111111111111</v>
      </c>
      <c r="C19" s="14">
        <f t="shared" si="1"/>
        <v>0.5555555555555556</v>
      </c>
      <c r="D19" s="14">
        <f t="shared" si="2"/>
        <v>0.45267489711934156</v>
      </c>
      <c r="E19" s="15">
        <f t="shared" si="3"/>
        <v>0</v>
      </c>
      <c r="F19" s="33">
        <f t="shared" si="4"/>
        <v>0.023656800800499228</v>
      </c>
    </row>
    <row r="20" spans="1:6" ht="12.75">
      <c r="A20" s="15">
        <v>0.125</v>
      </c>
      <c r="B20" s="19">
        <f t="shared" si="0"/>
        <v>-0.0014285714285714286</v>
      </c>
      <c r="C20" s="14">
        <f t="shared" si="1"/>
        <v>0.7142857142857143</v>
      </c>
      <c r="D20" s="14">
        <f t="shared" si="2"/>
        <v>0.5442176870748299</v>
      </c>
      <c r="E20" s="15">
        <f t="shared" si="3"/>
        <v>0</v>
      </c>
      <c r="F20" s="33">
        <f t="shared" si="4"/>
        <v>0.0008970796280796528</v>
      </c>
    </row>
    <row r="21" spans="1:6" ht="12.75">
      <c r="A21" s="15">
        <v>0.126</v>
      </c>
      <c r="B21" s="19">
        <f t="shared" si="0"/>
        <v>-0.0014416475972540046</v>
      </c>
      <c r="C21" s="14">
        <f t="shared" si="1"/>
        <v>0.7208237986270023</v>
      </c>
      <c r="D21" s="14">
        <f t="shared" si="2"/>
        <v>0.5476281490713153</v>
      </c>
      <c r="E21" s="15">
        <f t="shared" si="3"/>
        <v>0</v>
      </c>
      <c r="F21" s="33">
        <f t="shared" si="4"/>
        <v>-7.685627055234456E-05</v>
      </c>
    </row>
    <row r="22" spans="1:8" ht="12.75">
      <c r="A22" s="14">
        <v>0.1259</v>
      </c>
      <c r="B22" s="19">
        <f t="shared" si="0"/>
        <v>-0.0014403386340235671</v>
      </c>
      <c r="C22" s="14">
        <f t="shared" si="1"/>
        <v>0.7201693170117835</v>
      </c>
      <c r="D22" s="14">
        <f t="shared" si="2"/>
        <v>0.547288035290044</v>
      </c>
      <c r="E22" s="15">
        <f t="shared" si="3"/>
        <v>0</v>
      </c>
      <c r="F22" s="33">
        <f t="shared" si="4"/>
        <v>2.0726869416842764E-05</v>
      </c>
      <c r="G22" s="34" t="s">
        <v>130</v>
      </c>
      <c r="H22" s="14">
        <f>1/3*(1-C22/4)/(1-C22/3)</f>
        <v>0.3596572661581694</v>
      </c>
    </row>
    <row r="23" spans="7:8" ht="12.75">
      <c r="G23" s="35" t="s">
        <v>131</v>
      </c>
      <c r="H23" s="15">
        <f>(1-H22*A22)*(1+E22*F8*(H22*A22-B14)/(1-H22*A22))</f>
        <v>0.9547191501906864</v>
      </c>
    </row>
    <row r="24" spans="1:6" ht="12.75">
      <c r="A24" s="2" t="s">
        <v>30</v>
      </c>
      <c r="B24" s="5">
        <f>A22*B13</f>
        <v>2.5180000000000002</v>
      </c>
      <c r="C24" t="s">
        <v>3</v>
      </c>
      <c r="D24" s="2" t="s">
        <v>23</v>
      </c>
      <c r="E24" s="5">
        <f>B11*H23*B13*B5/1000</f>
        <v>29.01516026014304</v>
      </c>
      <c r="F24" t="s">
        <v>24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134</v>
      </c>
    </row>
    <row r="2" ht="12.75">
      <c r="A2" s="1" t="s">
        <v>119</v>
      </c>
    </row>
    <row r="4" spans="1:9" ht="12.75">
      <c r="A4" s="16" t="s">
        <v>78</v>
      </c>
      <c r="B4" s="5">
        <f>25*0.83*0.85/1.6</f>
        <v>11.023437499999998</v>
      </c>
      <c r="C4" t="s">
        <v>17</v>
      </c>
      <c r="E4" s="2" t="s">
        <v>102</v>
      </c>
      <c r="F4" s="2">
        <v>-0.0035</v>
      </c>
      <c r="H4" s="2" t="s">
        <v>106</v>
      </c>
      <c r="I4" s="19">
        <f>B5/B6</f>
        <v>0.001582946390882229</v>
      </c>
    </row>
    <row r="5" spans="1:9" ht="12.75">
      <c r="A5" s="2" t="s">
        <v>79</v>
      </c>
      <c r="B5" s="3">
        <f>375/1.15</f>
        <v>326.0869565217392</v>
      </c>
      <c r="C5" t="s">
        <v>17</v>
      </c>
      <c r="E5" s="2" t="s">
        <v>105</v>
      </c>
      <c r="F5" s="14">
        <v>-0.002</v>
      </c>
      <c r="H5" s="2" t="s">
        <v>109</v>
      </c>
      <c r="I5" s="15">
        <v>0.01</v>
      </c>
    </row>
    <row r="6" spans="1:3" ht="12.75">
      <c r="A6" s="2" t="s">
        <v>16</v>
      </c>
      <c r="B6" s="2">
        <v>206000</v>
      </c>
      <c r="C6" t="s">
        <v>17</v>
      </c>
    </row>
    <row r="7" ht="12.75">
      <c r="A7" s="16"/>
    </row>
    <row r="8" spans="1:6" ht="12.75">
      <c r="A8" s="2" t="s">
        <v>2</v>
      </c>
      <c r="B8" s="2">
        <v>100</v>
      </c>
      <c r="C8" t="s">
        <v>3</v>
      </c>
      <c r="E8" s="2" t="s">
        <v>65</v>
      </c>
      <c r="F8" s="15">
        <f>B12/B11</f>
        <v>0.33905579399141633</v>
      </c>
    </row>
    <row r="9" spans="1:6" ht="12.75">
      <c r="A9" s="2" t="s">
        <v>6</v>
      </c>
      <c r="B9" s="2">
        <v>22</v>
      </c>
      <c r="C9" t="s">
        <v>3</v>
      </c>
      <c r="E9" s="2"/>
      <c r="F9" s="2"/>
    </row>
    <row r="10" spans="1:10" ht="12.75">
      <c r="A10" s="2" t="s">
        <v>8</v>
      </c>
      <c r="B10" s="2">
        <v>2</v>
      </c>
      <c r="C10" t="s">
        <v>3</v>
      </c>
      <c r="E10" s="16" t="s">
        <v>123</v>
      </c>
      <c r="F10" s="15">
        <f>-F5/(I5-F5)</f>
        <v>0.16666666666666666</v>
      </c>
      <c r="G10" s="2" t="s">
        <v>64</v>
      </c>
      <c r="H10" s="15">
        <f>MIN((F10-$B$14)/(1-F10)*$I$5/$I$4,1)</f>
        <v>0.5053866666666664</v>
      </c>
      <c r="I10" s="16" t="s">
        <v>120</v>
      </c>
      <c r="J10" s="15">
        <f>0.111/(1-H10*$F$8)</f>
        <v>0.13395350629504996</v>
      </c>
    </row>
    <row r="11" spans="1:10" ht="12.75">
      <c r="A11" s="2" t="s">
        <v>10</v>
      </c>
      <c r="B11" s="2">
        <v>4.66</v>
      </c>
      <c r="C11" t="s">
        <v>5</v>
      </c>
      <c r="E11" s="16" t="s">
        <v>124</v>
      </c>
      <c r="F11" s="15">
        <f>-F4/(I5-F4)</f>
        <v>0.25925925925925924</v>
      </c>
      <c r="G11" s="2" t="s">
        <v>64</v>
      </c>
      <c r="H11" s="15">
        <f>MIN((F11-$B$14)/(1-F11)*$I$5/$I$4,1)</f>
        <v>1</v>
      </c>
      <c r="I11" s="16" t="s">
        <v>121</v>
      </c>
      <c r="J11" s="15">
        <f>0.81*F11/(1-H11*$F$8)</f>
        <v>0.3177272727272727</v>
      </c>
    </row>
    <row r="12" spans="1:10" ht="12.75">
      <c r="A12" s="2" t="s">
        <v>12</v>
      </c>
      <c r="B12" s="2">
        <v>1.58</v>
      </c>
      <c r="C12" t="s">
        <v>5</v>
      </c>
      <c r="E12" s="16" t="s">
        <v>125</v>
      </c>
      <c r="F12" s="15">
        <f>-F4/(I4-F4)</f>
        <v>0.6885770045260142</v>
      </c>
      <c r="G12" s="2" t="s">
        <v>64</v>
      </c>
      <c r="H12" s="15">
        <f>MIN((F12-$B$14)/(1-F12),1)</f>
        <v>1</v>
      </c>
      <c r="I12" s="16" t="s">
        <v>122</v>
      </c>
      <c r="J12" s="15">
        <f>17/21*F12/(1-H12*$F$8)</f>
        <v>0.8433684338056716</v>
      </c>
    </row>
    <row r="13" spans="1:10" ht="12.75">
      <c r="A13" s="2" t="s">
        <v>13</v>
      </c>
      <c r="B13" s="2">
        <f>B9-B10</f>
        <v>20</v>
      </c>
      <c r="C13" t="s">
        <v>3</v>
      </c>
      <c r="J13" s="2"/>
    </row>
    <row r="14" spans="1:9" ht="12.75">
      <c r="A14" s="16" t="s">
        <v>94</v>
      </c>
      <c r="B14" s="15">
        <f>B10/B13</f>
        <v>0.1</v>
      </c>
      <c r="E14" s="16" t="s">
        <v>95</v>
      </c>
      <c r="F14" s="14">
        <f>B11/(B8*B13)*B5/B4</f>
        <v>0.06892429051243339</v>
      </c>
      <c r="G14" s="30" t="s">
        <v>127</v>
      </c>
      <c r="H14" s="2" t="s">
        <v>126</v>
      </c>
      <c r="I14" s="2" t="str">
        <f>IF(F14&lt;J10,"2a",IF(F14&lt;J11,"2b",IF(F14&lt;J12,"3","4")))</f>
        <v>2a</v>
      </c>
    </row>
    <row r="16" spans="1:6" ht="12.75">
      <c r="A16" s="16" t="s">
        <v>30</v>
      </c>
      <c r="B16" s="16" t="s">
        <v>128</v>
      </c>
      <c r="C16" s="16" t="s">
        <v>129</v>
      </c>
      <c r="D16" s="16" t="s">
        <v>2</v>
      </c>
      <c r="E16" s="31" t="s">
        <v>64</v>
      </c>
      <c r="F16" s="32" t="s">
        <v>132</v>
      </c>
    </row>
    <row r="17" spans="1:6" ht="12.75">
      <c r="A17" s="2">
        <v>0</v>
      </c>
      <c r="B17" s="2">
        <f aca="true" t="shared" si="0" ref="B17:B22">-A17/(1-A17)*$I$5</f>
        <v>0</v>
      </c>
      <c r="C17" s="2">
        <f aca="true" t="shared" si="1" ref="C17:C22">B17/$F$5</f>
        <v>0</v>
      </c>
      <c r="D17" s="2">
        <f aca="true" t="shared" si="2" ref="D17:D22">C17*(1-C17/3)</f>
        <v>0</v>
      </c>
      <c r="E17" s="15">
        <f aca="true" t="shared" si="3" ref="E17:E22">IF($F$8=0,0,MIN((A17-$B$14)/(1-A17)*$I$5/$I$4,1))</f>
        <v>-0.6317333333333333</v>
      </c>
      <c r="F17" s="33">
        <f aca="true" t="shared" si="4" ref="F17:F22">$F$14*(1-E17*$F$8)-A17*D17</f>
        <v>0.08368738051952056</v>
      </c>
    </row>
    <row r="18" spans="1:6" ht="12.75">
      <c r="A18" s="15">
        <f>F10</f>
        <v>0.16666666666666666</v>
      </c>
      <c r="B18" s="19">
        <f t="shared" si="0"/>
        <v>-0.002</v>
      </c>
      <c r="C18" s="14">
        <f t="shared" si="1"/>
        <v>1</v>
      </c>
      <c r="D18" s="14">
        <f t="shared" si="2"/>
        <v>0.6666666666666667</v>
      </c>
      <c r="E18" s="15">
        <f t="shared" si="3"/>
        <v>0.5053866666666664</v>
      </c>
      <c r="F18" s="33">
        <f t="shared" si="4"/>
        <v>-0.05399729260434747</v>
      </c>
    </row>
    <row r="19" spans="1:6" ht="12.75">
      <c r="A19" s="15">
        <v>0.1</v>
      </c>
      <c r="B19" s="19">
        <f t="shared" si="0"/>
        <v>-0.0011111111111111111</v>
      </c>
      <c r="C19" s="14">
        <f t="shared" si="1"/>
        <v>0.5555555555555556</v>
      </c>
      <c r="D19" s="14">
        <f t="shared" si="2"/>
        <v>0.45267489711934156</v>
      </c>
      <c r="E19" s="15">
        <f t="shared" si="3"/>
        <v>0</v>
      </c>
      <c r="F19" s="33">
        <f t="shared" si="4"/>
        <v>0.023656800800499228</v>
      </c>
    </row>
    <row r="20" spans="1:6" ht="12.75">
      <c r="A20" s="15">
        <v>0.125</v>
      </c>
      <c r="B20" s="19">
        <f t="shared" si="0"/>
        <v>-0.0014285714285714286</v>
      </c>
      <c r="C20" s="14">
        <f t="shared" si="1"/>
        <v>0.7142857142857143</v>
      </c>
      <c r="D20" s="14">
        <f t="shared" si="2"/>
        <v>0.5442176870748299</v>
      </c>
      <c r="E20" s="15">
        <f t="shared" si="3"/>
        <v>0.18049523809523801</v>
      </c>
      <c r="F20" s="33">
        <f t="shared" si="4"/>
        <v>-0.0033209460882309694</v>
      </c>
    </row>
    <row r="21" spans="1:6" ht="12.75">
      <c r="A21" s="15">
        <v>0.122</v>
      </c>
      <c r="B21" s="19">
        <f t="shared" si="0"/>
        <v>-0.0013895216400911163</v>
      </c>
      <c r="C21" s="14">
        <f t="shared" si="1"/>
        <v>0.6947608200455582</v>
      </c>
      <c r="D21" s="14">
        <f t="shared" si="2"/>
        <v>0.533863287688766</v>
      </c>
      <c r="E21" s="15">
        <f t="shared" si="3"/>
        <v>0.1582930903568716</v>
      </c>
      <c r="F21" s="33">
        <f t="shared" si="4"/>
        <v>9.378968597661963E-05</v>
      </c>
    </row>
    <row r="22" spans="1:8" ht="12.75">
      <c r="A22" s="14">
        <v>0.1221</v>
      </c>
      <c r="B22" s="19">
        <f t="shared" si="0"/>
        <v>-0.0013908189998860917</v>
      </c>
      <c r="C22" s="14">
        <f t="shared" si="1"/>
        <v>0.6954094999430458</v>
      </c>
      <c r="D22" s="14">
        <f t="shared" si="2"/>
        <v>0.5342113757393667</v>
      </c>
      <c r="E22" s="15">
        <f t="shared" si="3"/>
        <v>0.15903071724190299</v>
      </c>
      <c r="F22" s="33">
        <f t="shared" si="4"/>
        <v>-1.9335929252919937E-05</v>
      </c>
      <c r="G22" s="34" t="s">
        <v>130</v>
      </c>
      <c r="H22" s="14">
        <f>1/3*(1-C22/4)/(1-C22/3)</f>
        <v>0.35847914195334124</v>
      </c>
    </row>
    <row r="23" spans="7:8" ht="12.75">
      <c r="G23" s="35" t="s">
        <v>131</v>
      </c>
      <c r="H23" s="15">
        <f>(1-H22*A22)*(1+E22*F8*(H22*A22-B14)/(1-H22*A22))</f>
        <v>0.9531977754302818</v>
      </c>
    </row>
    <row r="24" spans="1:6" ht="12.75">
      <c r="A24" s="2" t="s">
        <v>30</v>
      </c>
      <c r="B24" s="5">
        <f>A22*B13</f>
        <v>2.442</v>
      </c>
      <c r="C24" t="s">
        <v>3</v>
      </c>
      <c r="D24" s="2" t="s">
        <v>23</v>
      </c>
      <c r="E24" s="5">
        <f>B11*H23*B13*B5/1000</f>
        <v>28.968923696772485</v>
      </c>
      <c r="F24" t="s">
        <v>24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135</v>
      </c>
    </row>
    <row r="2" ht="12.75">
      <c r="A2" s="1" t="s">
        <v>119</v>
      </c>
    </row>
    <row r="4" spans="1:9" ht="12.75">
      <c r="A4" s="16" t="s">
        <v>78</v>
      </c>
      <c r="B4" s="5">
        <f>25*0.83*0.85/1.6</f>
        <v>11.023437499999998</v>
      </c>
      <c r="C4" t="s">
        <v>17</v>
      </c>
      <c r="E4" s="2" t="s">
        <v>102</v>
      </c>
      <c r="F4" s="2">
        <v>-0.0035</v>
      </c>
      <c r="H4" s="2" t="s">
        <v>106</v>
      </c>
      <c r="I4" s="19">
        <f>B5/B6</f>
        <v>0.001582946390882229</v>
      </c>
    </row>
    <row r="5" spans="1:9" ht="12.75">
      <c r="A5" s="2" t="s">
        <v>79</v>
      </c>
      <c r="B5" s="3">
        <f>375/1.15</f>
        <v>326.0869565217392</v>
      </c>
      <c r="C5" t="s">
        <v>17</v>
      </c>
      <c r="E5" s="2" t="s">
        <v>105</v>
      </c>
      <c r="F5" s="14">
        <v>-0.002</v>
      </c>
      <c r="H5" s="2" t="s">
        <v>109</v>
      </c>
      <c r="I5" s="15">
        <v>0.01</v>
      </c>
    </row>
    <row r="6" spans="1:3" ht="12.75">
      <c r="A6" s="2" t="s">
        <v>16</v>
      </c>
      <c r="B6" s="2">
        <v>206000</v>
      </c>
      <c r="C6" t="s">
        <v>17</v>
      </c>
    </row>
    <row r="7" ht="12.75">
      <c r="A7" s="16"/>
    </row>
    <row r="8" spans="1:6" ht="12.75">
      <c r="A8" s="2" t="s">
        <v>2</v>
      </c>
      <c r="B8" s="2">
        <v>20</v>
      </c>
      <c r="C8" t="s">
        <v>3</v>
      </c>
      <c r="E8" s="2" t="s">
        <v>65</v>
      </c>
      <c r="F8" s="15">
        <f>B12/B11</f>
        <v>0.6609442060085837</v>
      </c>
    </row>
    <row r="9" spans="1:6" ht="12.75">
      <c r="A9" s="2" t="s">
        <v>6</v>
      </c>
      <c r="B9" s="2">
        <v>22</v>
      </c>
      <c r="C9" t="s">
        <v>3</v>
      </c>
      <c r="E9" s="2"/>
      <c r="F9" s="2"/>
    </row>
    <row r="10" spans="1:10" ht="12.75">
      <c r="A10" s="2" t="s">
        <v>8</v>
      </c>
      <c r="B10" s="2">
        <v>2</v>
      </c>
      <c r="C10" t="s">
        <v>3</v>
      </c>
      <c r="E10" s="16" t="s">
        <v>123</v>
      </c>
      <c r="F10" s="15">
        <f>-F5/(I5-F5)</f>
        <v>0.16666666666666666</v>
      </c>
      <c r="G10" s="2" t="s">
        <v>64</v>
      </c>
      <c r="H10" s="15">
        <f>MIN((F10-$B$14)/(1-F10)*$I$5/$I$4,1)</f>
        <v>0.5053866666666664</v>
      </c>
      <c r="I10" s="16" t="s">
        <v>120</v>
      </c>
      <c r="J10" s="15">
        <f>0.111/(1-H10*$F$8)</f>
        <v>0.16667477244808804</v>
      </c>
    </row>
    <row r="11" spans="1:10" ht="12.75">
      <c r="A11" s="2" t="s">
        <v>10</v>
      </c>
      <c r="B11" s="2">
        <v>4.66</v>
      </c>
      <c r="C11" t="s">
        <v>5</v>
      </c>
      <c r="E11" s="16" t="s">
        <v>124</v>
      </c>
      <c r="F11" s="15">
        <f>-F4/(I5-F4)</f>
        <v>0.25925925925925924</v>
      </c>
      <c r="G11" s="2" t="s">
        <v>64</v>
      </c>
      <c r="H11" s="15">
        <f>MIN((F11-$B$14)/(1-F11)*$I$5/$I$4,1)</f>
        <v>1</v>
      </c>
      <c r="I11" s="16" t="s">
        <v>121</v>
      </c>
      <c r="J11" s="15">
        <f>0.81*F11/(1-H11*$F$8)</f>
        <v>0.6193670886075949</v>
      </c>
    </row>
    <row r="12" spans="1:10" ht="12.75">
      <c r="A12" s="2" t="s">
        <v>12</v>
      </c>
      <c r="B12" s="2">
        <v>3.08</v>
      </c>
      <c r="C12" t="s">
        <v>5</v>
      </c>
      <c r="E12" s="16" t="s">
        <v>125</v>
      </c>
      <c r="F12" s="15">
        <f>-F4/(I4-F4)</f>
        <v>0.6885770045260142</v>
      </c>
      <c r="G12" s="2" t="s">
        <v>64</v>
      </c>
      <c r="H12" s="15">
        <f>MIN((F12-$B$14)/(1-F12),1)</f>
        <v>1</v>
      </c>
      <c r="I12" s="16" t="s">
        <v>122</v>
      </c>
      <c r="J12" s="15">
        <f>17/21*F12/(1-H12*$F$8)</f>
        <v>1.6440346684313094</v>
      </c>
    </row>
    <row r="13" spans="1:10" ht="12.75">
      <c r="A13" s="2" t="s">
        <v>13</v>
      </c>
      <c r="B13" s="2">
        <f>B9-B10</f>
        <v>20</v>
      </c>
      <c r="C13" t="s">
        <v>3</v>
      </c>
      <c r="J13" s="2"/>
    </row>
    <row r="14" spans="1:9" ht="12.75">
      <c r="A14" s="16" t="s">
        <v>94</v>
      </c>
      <c r="B14" s="15">
        <f>B10/B13</f>
        <v>0.1</v>
      </c>
      <c r="E14" s="16" t="s">
        <v>95</v>
      </c>
      <c r="F14" s="14">
        <f>B11/(B8*B13)*B5/B4</f>
        <v>0.344621452562167</v>
      </c>
      <c r="G14" s="30" t="s">
        <v>127</v>
      </c>
      <c r="H14" s="2" t="s">
        <v>126</v>
      </c>
      <c r="I14" s="2" t="str">
        <f>IF(F14&lt;J10,"2a",IF(F14&lt;J11,"2b",IF(F14&lt;J12,"3","4")))</f>
        <v>2b</v>
      </c>
    </row>
    <row r="16" spans="1:6" ht="12.75">
      <c r="A16" s="16" t="s">
        <v>30</v>
      </c>
      <c r="B16" s="16" t="s">
        <v>128</v>
      </c>
      <c r="C16" s="16" t="s">
        <v>129</v>
      </c>
      <c r="D16" s="16" t="s">
        <v>2</v>
      </c>
      <c r="E16" s="31" t="s">
        <v>64</v>
      </c>
      <c r="F16" s="32" t="s">
        <v>132</v>
      </c>
    </row>
    <row r="17" spans="1:6" ht="12.75">
      <c r="A17" s="15">
        <f>F10</f>
        <v>0.16666666666666666</v>
      </c>
      <c r="B17" s="19">
        <f aca="true" t="shared" si="0" ref="B17:B22">-A17/(1-A17)*$I$5</f>
        <v>-0.002</v>
      </c>
      <c r="C17" s="14">
        <f aca="true" t="shared" si="1" ref="C17:C22">B17/$F$5</f>
        <v>1</v>
      </c>
      <c r="D17" s="14">
        <f aca="true" t="shared" si="2" ref="D17:D22">1-1/(3*C17)</f>
        <v>0.6666666666666667</v>
      </c>
      <c r="E17" s="14">
        <f aca="true" t="shared" si="3" ref="E17:E22">IF($F$8=0,0,MIN((A17-$B$14)/(1-A17)*$I$5/$I$4,1))</f>
        <v>0.5053866666666664</v>
      </c>
      <c r="F17" s="33">
        <f aca="true" t="shared" si="4" ref="F17:F22">$F$14*(1-E17*$F$8)-A17*D17</f>
        <v>0.11839561430718622</v>
      </c>
    </row>
    <row r="18" spans="1:6" ht="12.75">
      <c r="A18" s="15">
        <f>F11</f>
        <v>0.25925925925925924</v>
      </c>
      <c r="B18" s="19">
        <f t="shared" si="0"/>
        <v>-0.0034999999999999996</v>
      </c>
      <c r="C18" s="14">
        <f t="shared" si="1"/>
        <v>1.7499999999999998</v>
      </c>
      <c r="D18" s="14">
        <f t="shared" si="2"/>
        <v>0.8095238095238095</v>
      </c>
      <c r="E18" s="14">
        <f t="shared" si="3"/>
        <v>1</v>
      </c>
      <c r="F18" s="33">
        <f t="shared" si="4"/>
        <v>-0.09303064298493581</v>
      </c>
    </row>
    <row r="19" spans="1:6" ht="12.75">
      <c r="A19" s="15">
        <v>0.223</v>
      </c>
      <c r="B19" s="19">
        <f t="shared" si="0"/>
        <v>-0.0028700128700128703</v>
      </c>
      <c r="C19" s="14">
        <f t="shared" si="1"/>
        <v>1.435006435006435</v>
      </c>
      <c r="D19" s="14">
        <f t="shared" si="2"/>
        <v>0.767713004484305</v>
      </c>
      <c r="E19" s="14">
        <f t="shared" si="3"/>
        <v>1</v>
      </c>
      <c r="F19" s="33">
        <f t="shared" si="4"/>
        <v>-0.0543540997750593</v>
      </c>
    </row>
    <row r="20" spans="1:6" ht="12.75">
      <c r="A20" s="15">
        <v>0.2</v>
      </c>
      <c r="B20" s="19">
        <f t="shared" si="0"/>
        <v>-0.0025</v>
      </c>
      <c r="C20" s="14">
        <f t="shared" si="1"/>
        <v>1.25</v>
      </c>
      <c r="D20" s="14">
        <f t="shared" si="2"/>
        <v>0.7333333333333334</v>
      </c>
      <c r="E20" s="14">
        <f t="shared" si="3"/>
        <v>0.7896666666666666</v>
      </c>
      <c r="F20" s="33">
        <f t="shared" si="4"/>
        <v>0.01808802473320395</v>
      </c>
    </row>
    <row r="21" spans="1:6" ht="12.75">
      <c r="A21" s="15">
        <v>0.205</v>
      </c>
      <c r="B21" s="19">
        <f t="shared" si="0"/>
        <v>-0.002578616352201258</v>
      </c>
      <c r="C21" s="14">
        <f t="shared" si="1"/>
        <v>1.2893081761006289</v>
      </c>
      <c r="D21" s="14">
        <f t="shared" si="2"/>
        <v>0.7414634146341463</v>
      </c>
      <c r="E21" s="14">
        <f t="shared" si="3"/>
        <v>0.8343647798742135</v>
      </c>
      <c r="F21" s="33">
        <f t="shared" si="4"/>
        <v>0.002573553975589782</v>
      </c>
    </row>
    <row r="22" spans="1:8" ht="12.75">
      <c r="A22" s="14">
        <v>0.2058</v>
      </c>
      <c r="B22" s="19">
        <f t="shared" si="0"/>
        <v>-0.002591286829513976</v>
      </c>
      <c r="C22" s="14">
        <f t="shared" si="1"/>
        <v>1.295643414756988</v>
      </c>
      <c r="D22" s="14">
        <f t="shared" si="2"/>
        <v>0.7427275672173631</v>
      </c>
      <c r="E22" s="14">
        <f t="shared" si="3"/>
        <v>0.8415687064551329</v>
      </c>
      <c r="F22" s="33">
        <f t="shared" si="4"/>
        <v>7.934228629072337E-05</v>
      </c>
      <c r="G22" s="34" t="s">
        <v>130</v>
      </c>
      <c r="H22" s="14">
        <f>1/2*(1-2/3/C22+1/6/C22^2)/(1-1/3/C22)</f>
        <v>0.3936428491743622</v>
      </c>
    </row>
    <row r="23" spans="7:8" ht="12.75">
      <c r="G23" s="35" t="s">
        <v>131</v>
      </c>
      <c r="H23" s="15">
        <f>(1-H22*A22)*(1+E22*F8*(H22*A22-B14)/(1-H22*A22))</f>
        <v>0.9084264393689799</v>
      </c>
    </row>
    <row r="24" spans="1:6" ht="12.75">
      <c r="A24" s="2" t="s">
        <v>30</v>
      </c>
      <c r="B24" s="5">
        <f>A22*B13</f>
        <v>4.1160000000000005</v>
      </c>
      <c r="C24" t="s">
        <v>3</v>
      </c>
      <c r="D24" s="2" t="s">
        <v>23</v>
      </c>
      <c r="E24" s="5">
        <f>B11*H23*B13*B5/1000</f>
        <v>27.60826439647466</v>
      </c>
      <c r="F24" t="s">
        <v>24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136</v>
      </c>
    </row>
    <row r="2" ht="12.75">
      <c r="A2" s="1" t="s">
        <v>119</v>
      </c>
    </row>
    <row r="4" spans="1:9" ht="12.75">
      <c r="A4" s="16" t="s">
        <v>78</v>
      </c>
      <c r="B4" s="5">
        <f>25*0.83*0.85/1.6</f>
        <v>11.023437499999998</v>
      </c>
      <c r="C4" t="s">
        <v>17</v>
      </c>
      <c r="E4" s="2" t="s">
        <v>102</v>
      </c>
      <c r="F4" s="2">
        <v>-0.0035</v>
      </c>
      <c r="H4" s="2" t="s">
        <v>106</v>
      </c>
      <c r="I4" s="19">
        <f>B5/B6</f>
        <v>0.001582946390882229</v>
      </c>
    </row>
    <row r="5" spans="1:9" ht="12.75">
      <c r="A5" s="2" t="s">
        <v>79</v>
      </c>
      <c r="B5" s="3">
        <f>375/1.15</f>
        <v>326.0869565217392</v>
      </c>
      <c r="C5" t="s">
        <v>17</v>
      </c>
      <c r="E5" s="2" t="s">
        <v>105</v>
      </c>
      <c r="F5" s="14">
        <v>-0.002</v>
      </c>
      <c r="H5" s="2" t="s">
        <v>109</v>
      </c>
      <c r="I5" s="15">
        <v>0.01</v>
      </c>
    </row>
    <row r="6" spans="1:3" ht="12.75">
      <c r="A6" s="2" t="s">
        <v>16</v>
      </c>
      <c r="B6" s="2">
        <v>206000</v>
      </c>
      <c r="C6" t="s">
        <v>17</v>
      </c>
    </row>
    <row r="7" ht="12.75">
      <c r="A7" s="16"/>
    </row>
    <row r="8" spans="1:6" ht="12.75">
      <c r="A8" s="2" t="s">
        <v>2</v>
      </c>
      <c r="B8" s="2">
        <v>20</v>
      </c>
      <c r="C8" t="s">
        <v>3</v>
      </c>
      <c r="E8" s="2" t="s">
        <v>65</v>
      </c>
      <c r="F8" s="15">
        <f>B12/B11</f>
        <v>0.4849785407725321</v>
      </c>
    </row>
    <row r="9" spans="1:6" ht="12.75">
      <c r="A9" s="2" t="s">
        <v>6</v>
      </c>
      <c r="B9" s="2">
        <v>22</v>
      </c>
      <c r="C9" t="s">
        <v>3</v>
      </c>
      <c r="E9" s="2"/>
      <c r="F9" s="2"/>
    </row>
    <row r="10" spans="1:10" ht="12.75">
      <c r="A10" s="2" t="s">
        <v>8</v>
      </c>
      <c r="B10" s="2">
        <v>2</v>
      </c>
      <c r="C10" t="s">
        <v>3</v>
      </c>
      <c r="E10" s="16" t="s">
        <v>123</v>
      </c>
      <c r="F10" s="15">
        <f>-F5/(I5-F5)</f>
        <v>0.16666666666666666</v>
      </c>
      <c r="G10" s="2" t="s">
        <v>64</v>
      </c>
      <c r="H10" s="15">
        <f>MIN((F10-$B$14)/(1-F10)*$I$5/$I$4,1)</f>
        <v>0.5053866666666664</v>
      </c>
      <c r="I10" s="16" t="s">
        <v>120</v>
      </c>
      <c r="J10" s="15">
        <f>0.111/(1-H10*$F$8)</f>
        <v>0.14703967177305252</v>
      </c>
    </row>
    <row r="11" spans="1:10" ht="12.75">
      <c r="A11" s="2" t="s">
        <v>10</v>
      </c>
      <c r="B11" s="2">
        <v>4.66</v>
      </c>
      <c r="C11" t="s">
        <v>5</v>
      </c>
      <c r="E11" s="16" t="s">
        <v>124</v>
      </c>
      <c r="F11" s="15">
        <f>-F4/(I5-F4)</f>
        <v>0.25925925925925924</v>
      </c>
      <c r="G11" s="2" t="s">
        <v>64</v>
      </c>
      <c r="H11" s="15">
        <f>MIN((F11-$B$14)/(1-F11)*$I$5/$I$4,1)</f>
        <v>1</v>
      </c>
      <c r="I11" s="16" t="s">
        <v>121</v>
      </c>
      <c r="J11" s="15">
        <f>0.81*F11/(1-H11*$F$8)</f>
        <v>0.40774999999999995</v>
      </c>
    </row>
    <row r="12" spans="1:10" ht="12.75">
      <c r="A12" s="2" t="s">
        <v>12</v>
      </c>
      <c r="B12" s="2">
        <v>2.26</v>
      </c>
      <c r="C12" t="s">
        <v>5</v>
      </c>
      <c r="E12" s="16" t="s">
        <v>125</v>
      </c>
      <c r="F12" s="15">
        <f>-F4/(I4-F4)</f>
        <v>0.6885770045260142</v>
      </c>
      <c r="G12" s="2" t="s">
        <v>64</v>
      </c>
      <c r="H12" s="15">
        <f>MIN((F12-$B$14)/(1-F12),1)</f>
        <v>1</v>
      </c>
      <c r="I12" s="16" t="s">
        <v>122</v>
      </c>
      <c r="J12" s="15">
        <f>17/21*F12/(1-H12*$F$8)</f>
        <v>1.0823228233839453</v>
      </c>
    </row>
    <row r="13" spans="1:10" ht="12.75">
      <c r="A13" s="2" t="s">
        <v>13</v>
      </c>
      <c r="B13" s="2">
        <f>B9-B10</f>
        <v>20</v>
      </c>
      <c r="C13" t="s">
        <v>3</v>
      </c>
      <c r="J13" s="2"/>
    </row>
    <row r="14" spans="1:9" ht="12.75">
      <c r="A14" s="16" t="s">
        <v>94</v>
      </c>
      <c r="B14" s="15">
        <f>B10/B13</f>
        <v>0.1</v>
      </c>
      <c r="E14" s="16" t="s">
        <v>95</v>
      </c>
      <c r="F14" s="14">
        <f>B11/(B8*B13)*B5/B4</f>
        <v>0.344621452562167</v>
      </c>
      <c r="G14" s="30" t="s">
        <v>127</v>
      </c>
      <c r="H14" s="2" t="s">
        <v>126</v>
      </c>
      <c r="I14" s="2" t="str">
        <f>IF(F14&lt;J10,"2a",IF(F14&lt;J11,"2b",IF(F14&lt;J12,"3","4")))</f>
        <v>2b</v>
      </c>
    </row>
    <row r="16" spans="1:6" ht="12.75">
      <c r="A16" s="16" t="s">
        <v>30</v>
      </c>
      <c r="B16" s="16" t="s">
        <v>128</v>
      </c>
      <c r="C16" s="16" t="s">
        <v>129</v>
      </c>
      <c r="D16" s="16" t="s">
        <v>2</v>
      </c>
      <c r="E16" s="31" t="s">
        <v>64</v>
      </c>
      <c r="F16" s="32" t="s">
        <v>132</v>
      </c>
    </row>
    <row r="17" spans="1:6" ht="12.75">
      <c r="A17" s="15">
        <f>F10</f>
        <v>0.16666666666666666</v>
      </c>
      <c r="B17" s="19">
        <f aca="true" t="shared" si="0" ref="B17:B22">-A17/(1-A17)*$I$5</f>
        <v>-0.002</v>
      </c>
      <c r="C17" s="14">
        <f aca="true" t="shared" si="1" ref="C17:C22">B17/$F$5</f>
        <v>1</v>
      </c>
      <c r="D17" s="14">
        <f aca="true" t="shared" si="2" ref="D17:D22">1-1/(3*C17)</f>
        <v>0.6666666666666667</v>
      </c>
      <c r="E17" s="14">
        <f aca="true" t="shared" si="3" ref="E17:E22">IF($F$8=0,0,MIN((A17-$B$14)/(1-A17)*$I$5/$I$4,1))</f>
        <v>0.5053866666666664</v>
      </c>
      <c r="F17" s="33">
        <f aca="true" t="shared" si="4" ref="F17:F22">$F$14*(1-E17*$F$8)-A17*D17</f>
        <v>0.14904304166367105</v>
      </c>
    </row>
    <row r="18" spans="1:6" ht="12.75">
      <c r="A18" s="15">
        <f>F11</f>
        <v>0.25925925925925924</v>
      </c>
      <c r="B18" s="19">
        <f t="shared" si="0"/>
        <v>-0.0034999999999999996</v>
      </c>
      <c r="C18" s="14">
        <f t="shared" si="1"/>
        <v>1.7499999999999998</v>
      </c>
      <c r="D18" s="14">
        <f t="shared" si="2"/>
        <v>0.8095238095238095</v>
      </c>
      <c r="E18" s="14">
        <f t="shared" si="3"/>
        <v>1</v>
      </c>
      <c r="F18" s="33">
        <f t="shared" si="4"/>
        <v>-0.0323890998302197</v>
      </c>
    </row>
    <row r="19" spans="1:6" ht="12.75">
      <c r="A19" s="15">
        <v>0.223</v>
      </c>
      <c r="B19" s="19">
        <f t="shared" si="0"/>
        <v>-0.0028700128700128703</v>
      </c>
      <c r="C19" s="14">
        <f t="shared" si="1"/>
        <v>1.435006435006435</v>
      </c>
      <c r="D19" s="14">
        <f t="shared" si="2"/>
        <v>0.767713004484305</v>
      </c>
      <c r="E19" s="14">
        <f t="shared" si="3"/>
        <v>1</v>
      </c>
      <c r="F19" s="33">
        <f t="shared" si="4"/>
        <v>0.00628744337965681</v>
      </c>
    </row>
    <row r="20" spans="1:6" ht="12.75">
      <c r="A20" s="15">
        <v>0.23</v>
      </c>
      <c r="B20" s="19">
        <f t="shared" si="0"/>
        <v>-0.002987012987012987</v>
      </c>
      <c r="C20" s="14">
        <f t="shared" si="1"/>
        <v>1.4935064935064934</v>
      </c>
      <c r="D20" s="14">
        <f t="shared" si="2"/>
        <v>0.7768115942028986</v>
      </c>
      <c r="E20" s="14">
        <f t="shared" si="3"/>
        <v>1</v>
      </c>
      <c r="F20" s="33">
        <f t="shared" si="4"/>
        <v>-0.0011792232870098396</v>
      </c>
    </row>
    <row r="21" spans="1:6" ht="12.75">
      <c r="A21" s="15">
        <v>0.228</v>
      </c>
      <c r="B21" s="19">
        <f t="shared" si="0"/>
        <v>-0.0029533678756476682</v>
      </c>
      <c r="C21" s="14">
        <f t="shared" si="1"/>
        <v>1.4766839378238341</v>
      </c>
      <c r="D21" s="14">
        <f t="shared" si="2"/>
        <v>0.7742690058479532</v>
      </c>
      <c r="E21" s="14">
        <f t="shared" si="3"/>
        <v>1</v>
      </c>
      <c r="F21" s="33">
        <f t="shared" si="4"/>
        <v>0.0009541100463234808</v>
      </c>
    </row>
    <row r="22" spans="1:8" ht="12.75">
      <c r="A22" s="14">
        <v>0.2289</v>
      </c>
      <c r="B22" s="19">
        <f t="shared" si="0"/>
        <v>-0.002968486577616392</v>
      </c>
      <c r="C22" s="14">
        <f t="shared" si="1"/>
        <v>1.484243288808196</v>
      </c>
      <c r="D22" s="14">
        <f t="shared" si="2"/>
        <v>0.7754186689966507</v>
      </c>
      <c r="E22" s="14">
        <f t="shared" si="3"/>
        <v>1</v>
      </c>
      <c r="F22" s="33">
        <f t="shared" si="4"/>
        <v>-5.8899536765077976E-06</v>
      </c>
      <c r="G22" s="34" t="s">
        <v>130</v>
      </c>
      <c r="H22" s="14">
        <f>1/2*(1-2/3/C22+1/6/C22^2)/(1-1/3/C22)</f>
        <v>0.40397047710806494</v>
      </c>
    </row>
    <row r="23" spans="7:8" ht="12.75">
      <c r="G23" s="35" t="s">
        <v>131</v>
      </c>
      <c r="H23" s="15">
        <f>(1-H22*A22)*(1+E22*F8*(H22*A22-B14)/(1-H22*A22))</f>
        <v>0.9038787078746595</v>
      </c>
    </row>
    <row r="24" spans="1:6" ht="12.75">
      <c r="A24" s="2" t="s">
        <v>30</v>
      </c>
      <c r="B24" s="5">
        <f>A22*B13</f>
        <v>4.577999999999999</v>
      </c>
      <c r="C24" t="s">
        <v>3</v>
      </c>
      <c r="D24" s="2" t="s">
        <v>23</v>
      </c>
      <c r="E24" s="5">
        <f>B11*H23*B13*B5/1000</f>
        <v>27.47005290453857</v>
      </c>
      <c r="F24" t="s">
        <v>24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143</v>
      </c>
    </row>
    <row r="2" ht="12.75">
      <c r="A2" s="1" t="s">
        <v>119</v>
      </c>
    </row>
    <row r="4" spans="1:9" ht="12.75">
      <c r="A4" s="16" t="s">
        <v>78</v>
      </c>
      <c r="B4" s="5">
        <f>25*0.83*0.85/1.6</f>
        <v>11.023437499999998</v>
      </c>
      <c r="C4" t="s">
        <v>17</v>
      </c>
      <c r="E4" s="2" t="s">
        <v>102</v>
      </c>
      <c r="F4" s="2">
        <v>-0.0035</v>
      </c>
      <c r="H4" s="2" t="s">
        <v>106</v>
      </c>
      <c r="I4" s="19">
        <f>B5/B6</f>
        <v>0.001582946390882229</v>
      </c>
    </row>
    <row r="5" spans="1:9" ht="12.75">
      <c r="A5" s="2" t="s">
        <v>79</v>
      </c>
      <c r="B5" s="3">
        <f>375/1.15</f>
        <v>326.0869565217392</v>
      </c>
      <c r="C5" t="s">
        <v>17</v>
      </c>
      <c r="E5" s="2" t="s">
        <v>105</v>
      </c>
      <c r="F5" s="14">
        <v>-0.002</v>
      </c>
      <c r="H5" s="2" t="s">
        <v>109</v>
      </c>
      <c r="I5" s="15">
        <v>0.01</v>
      </c>
    </row>
    <row r="6" spans="1:3" ht="12.75">
      <c r="A6" s="2" t="s">
        <v>16</v>
      </c>
      <c r="B6" s="2">
        <v>206000</v>
      </c>
      <c r="C6" t="s">
        <v>17</v>
      </c>
    </row>
    <row r="7" ht="12.75">
      <c r="A7" s="16"/>
    </row>
    <row r="8" spans="1:6" ht="12.75">
      <c r="A8" s="2" t="s">
        <v>2</v>
      </c>
      <c r="B8" s="2">
        <v>20</v>
      </c>
      <c r="C8" t="s">
        <v>3</v>
      </c>
      <c r="E8" s="2" t="s">
        <v>65</v>
      </c>
      <c r="F8" s="15">
        <f>B12/B11</f>
        <v>0</v>
      </c>
    </row>
    <row r="9" spans="1:6" ht="12.75">
      <c r="A9" s="2" t="s">
        <v>6</v>
      </c>
      <c r="B9" s="2">
        <v>22</v>
      </c>
      <c r="C9" t="s">
        <v>3</v>
      </c>
      <c r="E9" s="2"/>
      <c r="F9" s="2"/>
    </row>
    <row r="10" spans="1:10" ht="12.75">
      <c r="A10" s="2" t="s">
        <v>8</v>
      </c>
      <c r="B10" s="2">
        <v>2</v>
      </c>
      <c r="C10" t="s">
        <v>3</v>
      </c>
      <c r="E10" s="16" t="s">
        <v>123</v>
      </c>
      <c r="F10" s="15">
        <f>-F5/(I5-F5)</f>
        <v>0.16666666666666666</v>
      </c>
      <c r="G10" s="2" t="s">
        <v>64</v>
      </c>
      <c r="H10" s="15">
        <f>MIN((F10-$B$14)/(1-F10)*$I$5/$I$4,1)</f>
        <v>0.5053866666666664</v>
      </c>
      <c r="I10" s="16" t="s">
        <v>120</v>
      </c>
      <c r="J10" s="15">
        <f>0.111/(1-H10*$F$8)</f>
        <v>0.111</v>
      </c>
    </row>
    <row r="11" spans="1:10" ht="12.75">
      <c r="A11" s="2" t="s">
        <v>10</v>
      </c>
      <c r="B11" s="2">
        <v>4.66</v>
      </c>
      <c r="C11" t="s">
        <v>5</v>
      </c>
      <c r="E11" s="16" t="s">
        <v>124</v>
      </c>
      <c r="F11" s="15">
        <f>-F4/(I5-F4)</f>
        <v>0.25925925925925924</v>
      </c>
      <c r="G11" s="2" t="s">
        <v>64</v>
      </c>
      <c r="H11" s="15">
        <f>MIN((F11-$B$14)/(1-F11)*$I$5/$I$4,1)</f>
        <v>1</v>
      </c>
      <c r="I11" s="16" t="s">
        <v>121</v>
      </c>
      <c r="J11" s="15">
        <f>0.81*F11/(1-H11*$F$8)</f>
        <v>0.21</v>
      </c>
    </row>
    <row r="12" spans="1:10" ht="12.75">
      <c r="A12" s="2" t="s">
        <v>12</v>
      </c>
      <c r="B12" s="2">
        <v>0</v>
      </c>
      <c r="C12" t="s">
        <v>5</v>
      </c>
      <c r="E12" s="16" t="s">
        <v>125</v>
      </c>
      <c r="F12" s="15">
        <f>-F4/(I4-F4)</f>
        <v>0.6885770045260142</v>
      </c>
      <c r="G12" s="2" t="s">
        <v>64</v>
      </c>
      <c r="H12" s="15">
        <f>MIN((F12-$B$14)/(1-F12),1)</f>
        <v>1</v>
      </c>
      <c r="I12" s="16" t="s">
        <v>122</v>
      </c>
      <c r="J12" s="15">
        <f>17/21*F12/(1-H12*$F$8)</f>
        <v>0.5574194798543924</v>
      </c>
    </row>
    <row r="13" spans="1:10" ht="12.75">
      <c r="A13" s="2" t="s">
        <v>13</v>
      </c>
      <c r="B13" s="2">
        <f>B9-B10</f>
        <v>20</v>
      </c>
      <c r="C13" t="s">
        <v>3</v>
      </c>
      <c r="J13" s="2"/>
    </row>
    <row r="14" spans="1:9" ht="12.75">
      <c r="A14" s="16" t="s">
        <v>94</v>
      </c>
      <c r="B14" s="15">
        <f>B10/B13</f>
        <v>0.1</v>
      </c>
      <c r="E14" s="16" t="s">
        <v>95</v>
      </c>
      <c r="F14" s="14">
        <f>B11/(B8*B13)*B5/B4</f>
        <v>0.344621452562167</v>
      </c>
      <c r="G14" s="30" t="s">
        <v>127</v>
      </c>
      <c r="H14" s="2" t="s">
        <v>126</v>
      </c>
      <c r="I14" s="2" t="str">
        <f>IF(F14&lt;J10,"2a",IF(F14&lt;J11,"2b",IF(F14&lt;J12,"3","4")))</f>
        <v>3</v>
      </c>
    </row>
    <row r="16" spans="1:5" ht="12.75">
      <c r="A16" s="16" t="s">
        <v>30</v>
      </c>
      <c r="B16" s="14">
        <f>F14*(1-F8)/0.8095</f>
        <v>0.42572137438192337</v>
      </c>
      <c r="D16" s="34" t="s">
        <v>130</v>
      </c>
      <c r="E16" s="14">
        <v>0.4159663865546218</v>
      </c>
    </row>
    <row r="17" spans="4:5" ht="12.75">
      <c r="D17" s="35" t="s">
        <v>131</v>
      </c>
      <c r="E17" s="15">
        <f>(1-E16*B16)*(1+F8*(E16*B16-B14)/(1-E16*B16))</f>
        <v>0.822914218219284</v>
      </c>
    </row>
    <row r="19" spans="1:6" ht="12.75">
      <c r="A19" s="2" t="s">
        <v>30</v>
      </c>
      <c r="B19" s="5">
        <f>B16*B13</f>
        <v>8.514427487638468</v>
      </c>
      <c r="C19" t="s">
        <v>3</v>
      </c>
      <c r="D19" s="2" t="s">
        <v>23</v>
      </c>
      <c r="E19" s="5">
        <f>B11*E17*B13*B5/1000</f>
        <v>25.00943645805564</v>
      </c>
      <c r="F19" t="s">
        <v>24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147</v>
      </c>
    </row>
    <row r="2" ht="12.75">
      <c r="A2" s="1" t="s">
        <v>119</v>
      </c>
    </row>
    <row r="4" spans="1:9" ht="12.75">
      <c r="A4" s="16" t="s">
        <v>78</v>
      </c>
      <c r="B4" s="5">
        <f>25*0.83*0.85/1.6</f>
        <v>11.023437499999998</v>
      </c>
      <c r="C4" t="s">
        <v>17</v>
      </c>
      <c r="E4" s="2" t="s">
        <v>102</v>
      </c>
      <c r="F4" s="2">
        <v>-0.0035</v>
      </c>
      <c r="H4" s="2" t="s">
        <v>106</v>
      </c>
      <c r="I4" s="19">
        <f>B5/B6</f>
        <v>0.001582946390882229</v>
      </c>
    </row>
    <row r="5" spans="1:9" ht="12.75">
      <c r="A5" s="2" t="s">
        <v>79</v>
      </c>
      <c r="B5" s="3">
        <f>375/1.15</f>
        <v>326.0869565217392</v>
      </c>
      <c r="C5" t="s">
        <v>17</v>
      </c>
      <c r="E5" s="2" t="s">
        <v>105</v>
      </c>
      <c r="F5" s="14">
        <v>-0.002</v>
      </c>
      <c r="H5" s="2" t="s">
        <v>109</v>
      </c>
      <c r="I5" s="15">
        <v>0.01</v>
      </c>
    </row>
    <row r="6" spans="1:3" ht="12.75">
      <c r="A6" s="2" t="s">
        <v>16</v>
      </c>
      <c r="B6" s="2">
        <v>206000</v>
      </c>
      <c r="C6" t="s">
        <v>17</v>
      </c>
    </row>
    <row r="7" ht="12.75">
      <c r="A7" s="16"/>
    </row>
    <row r="8" spans="1:6" ht="12.75">
      <c r="A8" s="2" t="s">
        <v>2</v>
      </c>
      <c r="B8" s="2">
        <v>100</v>
      </c>
      <c r="C8" t="s">
        <v>3</v>
      </c>
      <c r="E8" s="2" t="s">
        <v>65</v>
      </c>
      <c r="F8" s="15">
        <f>B12/B11</f>
        <v>0</v>
      </c>
    </row>
    <row r="9" spans="1:6" ht="12.75">
      <c r="A9" s="2" t="s">
        <v>6</v>
      </c>
      <c r="B9" s="2">
        <v>22</v>
      </c>
      <c r="C9" t="s">
        <v>3</v>
      </c>
      <c r="E9" s="2"/>
      <c r="F9" s="2"/>
    </row>
    <row r="10" spans="1:10" ht="12.75">
      <c r="A10" s="2" t="s">
        <v>8</v>
      </c>
      <c r="B10" s="2">
        <v>2</v>
      </c>
      <c r="C10" t="s">
        <v>3</v>
      </c>
      <c r="E10" s="16"/>
      <c r="F10" s="15"/>
      <c r="G10" s="2"/>
      <c r="H10" s="15"/>
      <c r="I10" s="16"/>
      <c r="J10" s="15"/>
    </row>
    <row r="11" spans="1:10" ht="12.75">
      <c r="A11" s="2" t="s">
        <v>10</v>
      </c>
      <c r="B11" s="2">
        <v>4.66</v>
      </c>
      <c r="C11" t="s">
        <v>5</v>
      </c>
      <c r="E11" s="16" t="s">
        <v>144</v>
      </c>
      <c r="F11" s="15">
        <f>1.826*B14</f>
        <v>0.1826</v>
      </c>
      <c r="G11" s="2" t="s">
        <v>64</v>
      </c>
      <c r="H11" s="15">
        <f>MIN(-(F11-$B$14)/F11*F4/I4,1)</f>
        <v>1</v>
      </c>
      <c r="I11" s="16" t="s">
        <v>145</v>
      </c>
      <c r="J11" s="15">
        <f>0.81*F11/(1-H11*$F$8)</f>
        <v>0.147906</v>
      </c>
    </row>
    <row r="12" spans="1:10" ht="12.75">
      <c r="A12" s="2" t="s">
        <v>12</v>
      </c>
      <c r="B12" s="2">
        <v>0</v>
      </c>
      <c r="C12" t="s">
        <v>5</v>
      </c>
      <c r="E12" s="16" t="s">
        <v>125</v>
      </c>
      <c r="F12" s="15">
        <f>-F4/(I4-F4)</f>
        <v>0.6885770045260142</v>
      </c>
      <c r="G12" s="2" t="s">
        <v>64</v>
      </c>
      <c r="H12" s="15">
        <f>MIN((F12-$B$14)/(1-F12),1)</f>
        <v>1</v>
      </c>
      <c r="I12" s="16" t="s">
        <v>122</v>
      </c>
      <c r="J12" s="15">
        <f>17/21*F12/(1-H12*$F$8)</f>
        <v>0.5574194798543924</v>
      </c>
    </row>
    <row r="13" spans="1:10" ht="12.75">
      <c r="A13" s="2" t="s">
        <v>13</v>
      </c>
      <c r="B13" s="2">
        <f>B9-B10</f>
        <v>20</v>
      </c>
      <c r="C13" t="s">
        <v>3</v>
      </c>
      <c r="J13" s="2"/>
    </row>
    <row r="14" spans="1:9" ht="12.75">
      <c r="A14" s="16" t="s">
        <v>94</v>
      </c>
      <c r="B14" s="15">
        <f>B10/B13</f>
        <v>0.1</v>
      </c>
      <c r="E14" s="16" t="s">
        <v>95</v>
      </c>
      <c r="F14" s="14">
        <f>B11/(B8*B13)*B5/B4</f>
        <v>0.06892429051243339</v>
      </c>
      <c r="G14" s="30" t="s">
        <v>127</v>
      </c>
      <c r="H14" s="2" t="s">
        <v>126</v>
      </c>
      <c r="I14" s="36" t="str">
        <f>IF(F14&lt;J11,"s.compr.el.",IF(F14&lt;J12,"s.compr.sn.","4"))</f>
        <v>s.compr.el.</v>
      </c>
    </row>
    <row r="16" spans="1:6" ht="12.75">
      <c r="A16" s="2" t="s">
        <v>146</v>
      </c>
      <c r="E16" s="16" t="s">
        <v>30</v>
      </c>
      <c r="F16">
        <f>F14/0.8095</f>
        <v>0.08514427487638467</v>
      </c>
    </row>
    <row r="17" spans="1:5" ht="12.75">
      <c r="A17" s="2"/>
      <c r="E17" s="16"/>
    </row>
    <row r="20" spans="1:8" ht="12.75">
      <c r="A20" s="16" t="s">
        <v>30</v>
      </c>
      <c r="B20" s="14">
        <f>F16</f>
        <v>0.08514427487638467</v>
      </c>
      <c r="C20" s="14"/>
      <c r="D20" s="14" t="s">
        <v>64</v>
      </c>
      <c r="E20" s="15">
        <f>-(B20-B14)/B20*F4/I4</f>
        <v>-0.3857804729405096</v>
      </c>
      <c r="F20" s="33"/>
      <c r="G20" s="34" t="s">
        <v>130</v>
      </c>
      <c r="H20" s="14">
        <f>0.416</f>
        <v>0.416</v>
      </c>
    </row>
    <row r="21" spans="7:8" ht="12.75">
      <c r="G21" s="35" t="s">
        <v>131</v>
      </c>
      <c r="H21" s="15">
        <f>(1-H20*B20)*(1+E20*F8*(H20*B20-B14)/(1-H20*B20))</f>
        <v>0.964579981651424</v>
      </c>
    </row>
    <row r="22" spans="1:6" ht="12.75">
      <c r="A22" s="2" t="s">
        <v>30</v>
      </c>
      <c r="B22" s="5">
        <f>B20*B13</f>
        <v>1.7028854975276932</v>
      </c>
      <c r="C22" t="s">
        <v>3</v>
      </c>
      <c r="D22" s="2" t="s">
        <v>23</v>
      </c>
      <c r="E22" s="5">
        <f>B11*H21*B13*B5/1000</f>
        <v>29.314843790188934</v>
      </c>
      <c r="F22" t="s">
        <v>24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I18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0</v>
      </c>
    </row>
    <row r="2" ht="12.75">
      <c r="A2" s="1" t="s">
        <v>1</v>
      </c>
    </row>
    <row r="5" spans="1:7" ht="12.75">
      <c r="A5" s="2" t="s">
        <v>2</v>
      </c>
      <c r="B5" s="2">
        <v>30</v>
      </c>
      <c r="C5" t="s">
        <v>3</v>
      </c>
      <c r="E5" s="2" t="s">
        <v>4</v>
      </c>
      <c r="F5" s="3">
        <f>B5*B6+B14*(B8+B9)</f>
        <v>1609.7928</v>
      </c>
      <c r="G5" t="s">
        <v>5</v>
      </c>
    </row>
    <row r="6" spans="1:9" ht="12.75">
      <c r="A6" s="2" t="s">
        <v>6</v>
      </c>
      <c r="B6" s="2">
        <v>50</v>
      </c>
      <c r="C6" t="s">
        <v>3</v>
      </c>
      <c r="E6" s="2" t="s">
        <v>185</v>
      </c>
      <c r="F6" s="4">
        <f>B5*B6^2/2+B14*(B8*B10+B9*B7)</f>
        <v>41642.361600000004</v>
      </c>
      <c r="G6" t="s">
        <v>7</v>
      </c>
      <c r="I6" s="4"/>
    </row>
    <row r="7" spans="1:9" ht="12.75">
      <c r="A7" s="2" t="s">
        <v>8</v>
      </c>
      <c r="B7" s="2">
        <v>4</v>
      </c>
      <c r="C7" t="s">
        <v>3</v>
      </c>
      <c r="E7" s="2" t="s">
        <v>11</v>
      </c>
      <c r="F7" s="5">
        <f>F6/F5</f>
        <v>25.868149987998457</v>
      </c>
      <c r="G7" t="s">
        <v>3</v>
      </c>
      <c r="H7" s="2"/>
      <c r="I7" s="5"/>
    </row>
    <row r="8" spans="1:9" ht="12.75">
      <c r="A8" s="2" t="s">
        <v>10</v>
      </c>
      <c r="B8" s="2">
        <v>12.56</v>
      </c>
      <c r="C8" t="s">
        <v>5</v>
      </c>
      <c r="E8" s="2" t="s">
        <v>9</v>
      </c>
      <c r="F8" s="5">
        <f>B6-F7</f>
        <v>24.131850012001543</v>
      </c>
      <c r="G8" t="s">
        <v>3</v>
      </c>
      <c r="H8" s="2"/>
      <c r="I8" s="5"/>
    </row>
    <row r="9" spans="1:3" ht="12.75">
      <c r="A9" s="2" t="s">
        <v>12</v>
      </c>
      <c r="B9" s="2">
        <v>3.08</v>
      </c>
      <c r="C9" t="s">
        <v>5</v>
      </c>
    </row>
    <row r="10" spans="1:7" ht="12.75">
      <c r="A10" s="2" t="s">
        <v>13</v>
      </c>
      <c r="B10" s="2">
        <f>B6-B7</f>
        <v>46</v>
      </c>
      <c r="C10" t="s">
        <v>3</v>
      </c>
      <c r="E10" s="2" t="s">
        <v>14</v>
      </c>
      <c r="F10" s="3">
        <f>B5*(F8^3+F7^3)/3+B14*(B9*(F7-B7)^2+B8*(F8-B7)^2)</f>
        <v>359705.3490767327</v>
      </c>
      <c r="G10" t="s">
        <v>15</v>
      </c>
    </row>
    <row r="12" spans="1:7" ht="12.75">
      <c r="A12" s="2" t="s">
        <v>16</v>
      </c>
      <c r="B12" s="2">
        <v>200000</v>
      </c>
      <c r="C12" t="s">
        <v>17</v>
      </c>
      <c r="E12" s="2" t="s">
        <v>18</v>
      </c>
      <c r="F12" s="5">
        <f>-$B$16/$F$10*F7*1000</f>
        <v>-3.595741633311135</v>
      </c>
      <c r="G12" t="s">
        <v>17</v>
      </c>
    </row>
    <row r="13" spans="1:7" ht="12.75">
      <c r="A13" s="2" t="s">
        <v>19</v>
      </c>
      <c r="B13" s="2">
        <v>28500</v>
      </c>
      <c r="C13" t="s">
        <v>17</v>
      </c>
      <c r="E13" s="2" t="s">
        <v>20</v>
      </c>
      <c r="F13" s="5">
        <f>-$B$16/$F$10*(-F8)*1000</f>
        <v>3.354391319720646</v>
      </c>
      <c r="G13" t="s">
        <v>17</v>
      </c>
    </row>
    <row r="14" spans="1:2" ht="12.75">
      <c r="A14" s="2" t="s">
        <v>21</v>
      </c>
      <c r="B14" s="2">
        <f>ROUND(B12/B13,2)</f>
        <v>7.02</v>
      </c>
    </row>
    <row r="15" spans="5:7" ht="12.75">
      <c r="E15" s="2" t="s">
        <v>22</v>
      </c>
      <c r="F15" s="3">
        <f>-$B$16/$F$10*(F7-$B$7)*1000*$B$14</f>
        <v>-21.338911599421518</v>
      </c>
      <c r="G15" t="s">
        <v>17</v>
      </c>
    </row>
    <row r="16" spans="1:7" ht="12.75">
      <c r="A16" s="2" t="s">
        <v>23</v>
      </c>
      <c r="B16" s="2">
        <v>50</v>
      </c>
      <c r="C16" t="s">
        <v>24</v>
      </c>
      <c r="E16" s="2" t="s">
        <v>25</v>
      </c>
      <c r="F16" s="3">
        <f>-$B$16/$F$10*(-F8+$B$7)*1000*$B$14</f>
        <v>19.644632398016288</v>
      </c>
      <c r="G16" t="s">
        <v>17</v>
      </c>
    </row>
    <row r="18" spans="1:7" ht="12.75">
      <c r="A18" s="2" t="s">
        <v>26</v>
      </c>
      <c r="B18" s="2">
        <v>1.94</v>
      </c>
      <c r="C18" t="s">
        <v>17</v>
      </c>
      <c r="E18" s="2" t="s">
        <v>187</v>
      </c>
      <c r="F18" s="3">
        <f>B16*B18/F13</f>
        <v>28.917317854280093</v>
      </c>
      <c r="G18" t="s">
        <v>24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3">
      <selection activeCell="F14" sqref="F14"/>
    </sheetView>
  </sheetViews>
  <sheetFormatPr defaultColWidth="9.140625" defaultRowHeight="12.75"/>
  <sheetData>
    <row r="1" ht="12.75">
      <c r="A1" s="1" t="s">
        <v>148</v>
      </c>
    </row>
    <row r="2" ht="12.75">
      <c r="A2" s="1" t="s">
        <v>119</v>
      </c>
    </row>
    <row r="4" spans="1:9" ht="12.75">
      <c r="A4" s="16" t="s">
        <v>78</v>
      </c>
      <c r="B4" s="5">
        <f>25*0.83*0.85/1.6</f>
        <v>11.023437499999998</v>
      </c>
      <c r="C4" t="s">
        <v>17</v>
      </c>
      <c r="E4" s="2" t="s">
        <v>102</v>
      </c>
      <c r="F4" s="2">
        <v>-0.0035</v>
      </c>
      <c r="H4" s="2" t="s">
        <v>106</v>
      </c>
      <c r="I4" s="19">
        <f>B5/B6</f>
        <v>0.001582946390882229</v>
      </c>
    </row>
    <row r="5" spans="1:9" ht="12.75">
      <c r="A5" s="2" t="s">
        <v>79</v>
      </c>
      <c r="B5" s="3">
        <f>375/1.15</f>
        <v>326.0869565217392</v>
      </c>
      <c r="C5" t="s">
        <v>17</v>
      </c>
      <c r="E5" s="2" t="s">
        <v>105</v>
      </c>
      <c r="F5" s="14">
        <v>-0.002</v>
      </c>
      <c r="H5" s="2" t="s">
        <v>109</v>
      </c>
      <c r="I5" s="15">
        <v>0.01</v>
      </c>
    </row>
    <row r="6" spans="1:3" ht="12.75">
      <c r="A6" s="2" t="s">
        <v>16</v>
      </c>
      <c r="B6" s="2">
        <v>206000</v>
      </c>
      <c r="C6" t="s">
        <v>17</v>
      </c>
    </row>
    <row r="7" ht="12.75">
      <c r="A7" s="16"/>
    </row>
    <row r="8" spans="1:6" ht="12.75">
      <c r="A8" s="2" t="s">
        <v>2</v>
      </c>
      <c r="B8" s="2">
        <v>100</v>
      </c>
      <c r="C8" t="s">
        <v>3</v>
      </c>
      <c r="E8" s="2" t="s">
        <v>65</v>
      </c>
      <c r="F8" s="15">
        <f>B12/B11</f>
        <v>0.33905579399141633</v>
      </c>
    </row>
    <row r="9" spans="1:6" ht="12.75">
      <c r="A9" s="2" t="s">
        <v>6</v>
      </c>
      <c r="B9" s="2">
        <v>22</v>
      </c>
      <c r="C9" t="s">
        <v>3</v>
      </c>
      <c r="E9" s="2"/>
      <c r="F9" s="2"/>
    </row>
    <row r="10" spans="1:10" ht="12.75">
      <c r="A10" s="2" t="s">
        <v>8</v>
      </c>
      <c r="B10" s="2">
        <v>2</v>
      </c>
      <c r="C10" t="s">
        <v>3</v>
      </c>
      <c r="E10" s="16"/>
      <c r="F10" s="15"/>
      <c r="G10" s="2"/>
      <c r="H10" s="15"/>
      <c r="I10" s="16"/>
      <c r="J10" s="15"/>
    </row>
    <row r="11" spans="1:10" ht="12.75">
      <c r="A11" s="2" t="s">
        <v>10</v>
      </c>
      <c r="B11" s="2">
        <v>4.66</v>
      </c>
      <c r="C11" t="s">
        <v>5</v>
      </c>
      <c r="E11" s="16" t="s">
        <v>144</v>
      </c>
      <c r="F11" s="15">
        <f>1.826*B14</f>
        <v>0.1826</v>
      </c>
      <c r="G11" s="2" t="s">
        <v>64</v>
      </c>
      <c r="H11" s="15">
        <f>MIN(-(F11-$B$14)/F11*F4/I4,1)</f>
        <v>1</v>
      </c>
      <c r="I11" s="16" t="s">
        <v>145</v>
      </c>
      <c r="J11" s="15">
        <f>0.81*F11/(1-H11*$F$8)</f>
        <v>0.22377985714285714</v>
      </c>
    </row>
    <row r="12" spans="1:10" ht="12.75">
      <c r="A12" s="2" t="s">
        <v>12</v>
      </c>
      <c r="B12" s="2">
        <v>1.58</v>
      </c>
      <c r="C12" t="s">
        <v>5</v>
      </c>
      <c r="E12" s="16" t="s">
        <v>125</v>
      </c>
      <c r="F12" s="15">
        <f>-F4/(I4-F4)</f>
        <v>0.6885770045260142</v>
      </c>
      <c r="G12" s="2" t="s">
        <v>64</v>
      </c>
      <c r="H12" s="15">
        <f>MIN((F12-$B$14)/(1-F12),1)</f>
        <v>1</v>
      </c>
      <c r="I12" s="16" t="s">
        <v>122</v>
      </c>
      <c r="J12" s="15">
        <f>17/21*F12/(1-H12*$F$8)</f>
        <v>0.8433684338056716</v>
      </c>
    </row>
    <row r="13" spans="1:10" ht="12.75">
      <c r="A13" s="2" t="s">
        <v>13</v>
      </c>
      <c r="B13" s="2">
        <f>B9-B10</f>
        <v>20</v>
      </c>
      <c r="C13" t="s">
        <v>3</v>
      </c>
      <c r="J13" s="2"/>
    </row>
    <row r="14" spans="1:9" ht="12.75">
      <c r="A14" s="16" t="s">
        <v>94</v>
      </c>
      <c r="B14" s="15">
        <f>B10/B13</f>
        <v>0.1</v>
      </c>
      <c r="E14" s="16" t="s">
        <v>95</v>
      </c>
      <c r="F14" s="14">
        <f>B11/(B8*B13)*B5/B4</f>
        <v>0.06892429051243339</v>
      </c>
      <c r="G14" s="30" t="s">
        <v>127</v>
      </c>
      <c r="H14" s="2" t="s">
        <v>126</v>
      </c>
      <c r="I14" s="36" t="str">
        <f>IF(F14&lt;J11,"s.compr.el.",IF(F14&lt;J12,"s.compr.sn.","4"))</f>
        <v>s.compr.el.</v>
      </c>
    </row>
    <row r="15" ht="12.75">
      <c r="J15" s="5">
        <f>SUM(J16:J18)</f>
        <v>0</v>
      </c>
    </row>
    <row r="16" spans="1:10" ht="12.75">
      <c r="A16" s="2" t="s">
        <v>149</v>
      </c>
      <c r="B16" s="2">
        <f>-F4/I4</f>
        <v>2.2110666666666665</v>
      </c>
      <c r="E16" s="16" t="s">
        <v>30</v>
      </c>
      <c r="F16" s="14">
        <f>B18*F14*(1-B16*F8+SQRT((1-B16*F8)^2+B17*B14*F8/F14))</f>
        <v>0.09122660341579882</v>
      </c>
      <c r="I16" s="2" t="s">
        <v>153</v>
      </c>
      <c r="J16" s="5">
        <f>-0.81*B8*B22*B4/10</f>
        <v>-162.91218329679782</v>
      </c>
    </row>
    <row r="17" spans="1:10" ht="12.75">
      <c r="A17" s="2" t="s">
        <v>150</v>
      </c>
      <c r="B17" s="2">
        <f>B16*4*0.81</f>
        <v>7.163856</v>
      </c>
      <c r="I17" s="2" t="s">
        <v>154</v>
      </c>
      <c r="J17" s="5">
        <f>B11*B5/10</f>
        <v>151.95652173913047</v>
      </c>
    </row>
    <row r="18" spans="1:10" ht="12.75">
      <c r="A18" s="2" t="s">
        <v>156</v>
      </c>
      <c r="B18">
        <f>1/(2*0.81)</f>
        <v>0.6172839506172839</v>
      </c>
      <c r="I18" s="2" t="s">
        <v>155</v>
      </c>
      <c r="J18" s="5">
        <f>-B12*B5*E20/10</f>
        <v>10.955661557667343</v>
      </c>
    </row>
    <row r="19" ht="12.75">
      <c r="K19" s="2">
        <v>1.824532068407506</v>
      </c>
    </row>
    <row r="20" spans="1:11" ht="12.75">
      <c r="A20" s="16" t="s">
        <v>30</v>
      </c>
      <c r="B20" s="14">
        <f>F16</f>
        <v>0.09122660341579882</v>
      </c>
      <c r="C20" s="14"/>
      <c r="D20" s="14" t="s">
        <v>64</v>
      </c>
      <c r="E20" s="15">
        <f>-(B20-B14)/B20*F4/I4</f>
        <v>-0.2126415323429104</v>
      </c>
      <c r="F20" s="33"/>
      <c r="G20" s="34" t="s">
        <v>130</v>
      </c>
      <c r="H20" s="14">
        <f>0.416</f>
        <v>0.416</v>
      </c>
      <c r="J20">
        <f>B4*B8*0.81</f>
        <v>892.8984374999999</v>
      </c>
      <c r="K20" s="2">
        <f>J20*K19^2</f>
        <v>2972.385027742006</v>
      </c>
    </row>
    <row r="21" spans="7:11" ht="12.75">
      <c r="G21" s="35" t="s">
        <v>131</v>
      </c>
      <c r="H21" s="15">
        <f>(1-H20*B20)*(1+E20*F8*(H20*B20-B14)/(1-H20*B20))</f>
        <v>0.9665233538969169</v>
      </c>
      <c r="J21">
        <f>(B11-B12*ABS(F4)/I4)*B5</f>
        <v>380.38521739130454</v>
      </c>
      <c r="K21" s="2">
        <f>-J21*K19</f>
        <v>-694.0250274785957</v>
      </c>
    </row>
    <row r="22" spans="1:11" ht="12.75">
      <c r="A22" s="2" t="s">
        <v>30</v>
      </c>
      <c r="B22" s="14">
        <f>B20*B13</f>
        <v>1.8245320683159763</v>
      </c>
      <c r="C22" t="s">
        <v>3</v>
      </c>
      <c r="D22" s="2" t="s">
        <v>23</v>
      </c>
      <c r="E22" s="5">
        <f>B11*H21*B13*B5/1000</f>
        <v>29.37390540756283</v>
      </c>
      <c r="F22" t="s">
        <v>24</v>
      </c>
      <c r="J22">
        <f>B12*ABS(F4)/I4*B5*B10</f>
        <v>2278.36</v>
      </c>
      <c r="K22" s="2">
        <f>-J22</f>
        <v>-2278.36</v>
      </c>
    </row>
    <row r="23" ht="12.75">
      <c r="K23">
        <f>SUM(K20:K22)</f>
        <v>2.634101292642299E-07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G21" sqref="G21"/>
    </sheetView>
  </sheetViews>
  <sheetFormatPr defaultColWidth="9.140625" defaultRowHeight="12.75"/>
  <cols>
    <col min="1" max="16384" width="9.140625" style="2" customWidth="1"/>
  </cols>
  <sheetData>
    <row r="2" spans="1:9" ht="12.75">
      <c r="A2" s="16" t="s">
        <v>78</v>
      </c>
      <c r="B2" s="5">
        <f>25*0.83*0.85/1.6</f>
        <v>11.023437499999998</v>
      </c>
      <c r="C2" t="s">
        <v>17</v>
      </c>
      <c r="E2" s="2" t="s">
        <v>102</v>
      </c>
      <c r="F2" s="2">
        <v>-0.0035</v>
      </c>
      <c r="H2" s="2" t="s">
        <v>106</v>
      </c>
      <c r="I2" s="19">
        <f>B3/B4</f>
        <v>0.001582946390882229</v>
      </c>
    </row>
    <row r="3" spans="1:9" ht="12.75">
      <c r="A3" s="2" t="s">
        <v>79</v>
      </c>
      <c r="B3" s="3">
        <f>375/1.15</f>
        <v>326.0869565217392</v>
      </c>
      <c r="C3" t="s">
        <v>17</v>
      </c>
      <c r="E3" s="2" t="s">
        <v>105</v>
      </c>
      <c r="F3" s="14">
        <v>-0.002</v>
      </c>
      <c r="H3" s="2" t="s">
        <v>109</v>
      </c>
      <c r="I3" s="15">
        <v>0.01</v>
      </c>
    </row>
    <row r="4" spans="1:9" ht="12.75">
      <c r="A4" s="2" t="s">
        <v>16</v>
      </c>
      <c r="B4" s="2">
        <v>206000</v>
      </c>
      <c r="C4" t="s">
        <v>17</v>
      </c>
      <c r="H4" s="2" t="s">
        <v>149</v>
      </c>
      <c r="I4" s="14">
        <f>-F2/I2</f>
        <v>2.2110666666666665</v>
      </c>
    </row>
    <row r="7" spans="1:6" ht="12.75">
      <c r="A7" s="16" t="s">
        <v>95</v>
      </c>
      <c r="B7" s="2">
        <v>0.06892429051243339</v>
      </c>
      <c r="D7" s="2" t="s">
        <v>65</v>
      </c>
      <c r="E7" s="2" t="s">
        <v>157</v>
      </c>
      <c r="F7" s="2" t="s">
        <v>158</v>
      </c>
    </row>
    <row r="8" spans="1:7" ht="12.75">
      <c r="A8" s="2" t="s">
        <v>62</v>
      </c>
      <c r="B8" s="2">
        <v>0.1</v>
      </c>
      <c r="D8" s="5">
        <v>0</v>
      </c>
      <c r="E8" s="15">
        <f>D8*$I$4</f>
        <v>0</v>
      </c>
      <c r="F8" s="14">
        <f>$B$7/2/0.81*ABS(1-E8)*(1+SQRT(1+4*0.81/$B$7*E8/(1-E8)^2*$B$8))</f>
        <v>0.08509171668201652</v>
      </c>
      <c r="G8" s="2">
        <f>IF(F8&gt;$B$10,"non vale","")</f>
      </c>
    </row>
    <row r="9" spans="4:7" ht="12.75">
      <c r="D9" s="5">
        <v>0.05</v>
      </c>
      <c r="E9" s="15">
        <f aca="true" t="shared" si="0" ref="E9:E17">D9*$I$4</f>
        <v>0.11055333333333334</v>
      </c>
      <c r="F9" s="14">
        <f aca="true" t="shared" si="1" ref="F9:F25">$B$7/2/0.81*ABS(1-E9)*(1+SQRT(1+4*0.81/$B$7*E9/(1-E9)^2*$B$8))</f>
        <v>0.08655320323211929</v>
      </c>
      <c r="G9" s="2">
        <f aca="true" t="shared" si="2" ref="G9:G17">IF(F9&gt;$B$10,"non vale","")</f>
      </c>
    </row>
    <row r="10" spans="2:7" ht="12.75">
      <c r="B10" s="14">
        <f>I4/(I4-1)*B8</f>
        <v>0.18257183749862382</v>
      </c>
      <c r="D10" s="5">
        <v>0.1</v>
      </c>
      <c r="E10" s="15">
        <f t="shared" si="0"/>
        <v>0.22110666666666667</v>
      </c>
      <c r="F10" s="14">
        <f t="shared" si="1"/>
        <v>0.08772446246402235</v>
      </c>
      <c r="G10" s="2">
        <f t="shared" si="2"/>
      </c>
    </row>
    <row r="11" spans="4:7" ht="12.75">
      <c r="D11" s="5">
        <v>0.15</v>
      </c>
      <c r="E11" s="15">
        <f t="shared" si="0"/>
        <v>0.33165999999999995</v>
      </c>
      <c r="F11" s="14">
        <f t="shared" si="1"/>
        <v>0.08869044502144545</v>
      </c>
      <c r="G11" s="2">
        <f t="shared" si="2"/>
      </c>
    </row>
    <row r="12" spans="4:7" ht="12.75">
      <c r="D12" s="5">
        <v>0.2</v>
      </c>
      <c r="E12" s="15">
        <f t="shared" si="0"/>
        <v>0.44221333333333335</v>
      </c>
      <c r="F12" s="14">
        <f t="shared" si="1"/>
        <v>0.08950425650270054</v>
      </c>
      <c r="G12" s="2">
        <f t="shared" si="2"/>
      </c>
    </row>
    <row r="13" spans="4:7" ht="12.75">
      <c r="D13" s="5">
        <v>0.25</v>
      </c>
      <c r="E13" s="15">
        <f t="shared" si="0"/>
        <v>0.5527666666666666</v>
      </c>
      <c r="F13" s="14">
        <f t="shared" si="1"/>
        <v>0.09020129486205301</v>
      </c>
      <c r="G13" s="2">
        <f t="shared" si="2"/>
      </c>
    </row>
    <row r="14" spans="4:7" ht="12.75">
      <c r="D14" s="5">
        <v>0.3</v>
      </c>
      <c r="E14" s="15">
        <f t="shared" si="0"/>
        <v>0.6633199999999999</v>
      </c>
      <c r="F14" s="14">
        <f t="shared" si="1"/>
        <v>0.0908063012212254</v>
      </c>
      <c r="G14" s="2">
        <f t="shared" si="2"/>
      </c>
    </row>
    <row r="15" spans="4:7" ht="12.75">
      <c r="D15" s="5">
        <v>0.35</v>
      </c>
      <c r="E15" s="15">
        <f t="shared" si="0"/>
        <v>0.7738733333333332</v>
      </c>
      <c r="F15" s="14">
        <f t="shared" si="1"/>
        <v>0.09133721373029692</v>
      </c>
      <c r="G15" s="2">
        <f t="shared" si="2"/>
      </c>
    </row>
    <row r="16" spans="4:7" ht="12.75">
      <c r="D16" s="5">
        <v>0.4</v>
      </c>
      <c r="E16" s="15">
        <f t="shared" si="0"/>
        <v>0.8844266666666667</v>
      </c>
      <c r="F16" s="14">
        <f t="shared" si="1"/>
        <v>0.09180742424986343</v>
      </c>
      <c r="G16" s="2">
        <f t="shared" si="2"/>
      </c>
    </row>
    <row r="17" spans="4:7" ht="12.75">
      <c r="D17" s="5">
        <v>0.45</v>
      </c>
      <c r="E17" s="15">
        <f t="shared" si="0"/>
        <v>0.99498</v>
      </c>
      <c r="F17" s="14">
        <f t="shared" si="1"/>
        <v>0.09222717291632407</v>
      </c>
      <c r="G17" s="2">
        <f t="shared" si="2"/>
      </c>
    </row>
    <row r="18" spans="4:7" ht="12.75">
      <c r="D18" s="2">
        <v>0.452</v>
      </c>
      <c r="E18" s="15">
        <f aca="true" t="shared" si="3" ref="E18:E25">D18*$I$4</f>
        <v>0.9994021333333333</v>
      </c>
      <c r="F18" s="14">
        <f t="shared" si="1"/>
        <v>0.09224303249626764</v>
      </c>
      <c r="G18" s="2">
        <f>IF(F23&gt;$B$10,"non vale","")</f>
      </c>
    </row>
    <row r="19" spans="4:7" ht="12.75">
      <c r="D19" s="2">
        <v>0.4525</v>
      </c>
      <c r="E19" s="15">
        <f t="shared" si="3"/>
        <v>1.0005076666666666</v>
      </c>
      <c r="F19" s="14">
        <f t="shared" si="1"/>
        <v>0.09229018508753628</v>
      </c>
      <c r="G19" s="2">
        <f>IF(F24&gt;$B$10,"non vale","")</f>
      </c>
    </row>
    <row r="20" spans="4:7" ht="12.75">
      <c r="D20" s="2">
        <v>0.453</v>
      </c>
      <c r="E20" s="15">
        <f t="shared" si="3"/>
        <v>1.0016132</v>
      </c>
      <c r="F20" s="14">
        <f t="shared" si="1"/>
        <v>0.09238820698102576</v>
      </c>
      <c r="G20" s="2">
        <f>IF(F25&gt;$B$10,"non vale","")</f>
      </c>
    </row>
    <row r="21" spans="4:6" ht="12.75">
      <c r="D21" s="2">
        <v>0.454</v>
      </c>
      <c r="E21" s="15">
        <f t="shared" si="3"/>
        <v>1.0038242666666666</v>
      </c>
      <c r="F21" s="14">
        <f t="shared" si="1"/>
        <v>0.09258423819942185</v>
      </c>
    </row>
    <row r="22" spans="4:6" ht="12.75">
      <c r="D22" s="2">
        <v>0.46</v>
      </c>
      <c r="E22" s="15">
        <f t="shared" si="3"/>
        <v>1.0170906666666666</v>
      </c>
      <c r="F22" s="14">
        <f t="shared" si="1"/>
        <v>0.09376007648147898</v>
      </c>
    </row>
    <row r="23" spans="4:6" ht="12.75">
      <c r="D23" s="5">
        <v>0.5</v>
      </c>
      <c r="E23" s="15">
        <f t="shared" si="3"/>
        <v>1.1055333333333333</v>
      </c>
      <c r="F23" s="14">
        <f t="shared" si="1"/>
        <v>0.10158446064585755</v>
      </c>
    </row>
    <row r="24" spans="4:6" ht="12.75">
      <c r="D24" s="5">
        <v>0.55</v>
      </c>
      <c r="E24" s="15">
        <f t="shared" si="3"/>
        <v>1.2160866666666668</v>
      </c>
      <c r="F24" s="14">
        <f t="shared" si="1"/>
        <v>0.11133277401109155</v>
      </c>
    </row>
    <row r="25" spans="4:6" ht="12.75">
      <c r="D25" s="5">
        <v>0.6</v>
      </c>
      <c r="E25" s="15">
        <f t="shared" si="3"/>
        <v>1.3266399999999998</v>
      </c>
      <c r="F25" s="14">
        <f t="shared" si="1"/>
        <v>0.12105005636153719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13"/>
  <dimension ref="A1:K22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151</v>
      </c>
    </row>
    <row r="2" ht="12.75">
      <c r="A2" s="1" t="s">
        <v>52</v>
      </c>
    </row>
    <row r="4" spans="1:11" ht="12.75">
      <c r="A4" s="2" t="s">
        <v>53</v>
      </c>
      <c r="B4" s="2">
        <v>25</v>
      </c>
      <c r="C4" t="s">
        <v>17</v>
      </c>
      <c r="D4" s="6" t="s">
        <v>112</v>
      </c>
      <c r="E4" s="2" t="s">
        <v>55</v>
      </c>
      <c r="F4" s="15">
        <v>0.02</v>
      </c>
      <c r="H4" s="6" t="s">
        <v>56</v>
      </c>
      <c r="I4" s="2" t="s">
        <v>10</v>
      </c>
      <c r="J4" s="3">
        <f>B11/(0.9*F13*B16)*10</f>
        <v>14.212382085679991</v>
      </c>
      <c r="K4" t="s">
        <v>5</v>
      </c>
    </row>
    <row r="5" spans="1:11" ht="12.75">
      <c r="A5" s="2" t="s">
        <v>57</v>
      </c>
      <c r="B5" s="2" t="s">
        <v>58</v>
      </c>
      <c r="E5" s="2" t="s">
        <v>2</v>
      </c>
      <c r="F5" s="2">
        <v>0.3</v>
      </c>
      <c r="G5" t="s">
        <v>59</v>
      </c>
      <c r="I5" s="2" t="s">
        <v>12</v>
      </c>
      <c r="J5" s="3">
        <f>F19*J4</f>
        <v>5.7394104966588975</v>
      </c>
      <c r="K5" t="s">
        <v>5</v>
      </c>
    </row>
    <row r="6" spans="1:7" ht="12.75">
      <c r="A6" s="16" t="s">
        <v>78</v>
      </c>
      <c r="B6" s="2">
        <v>11.02</v>
      </c>
      <c r="C6" t="s">
        <v>17</v>
      </c>
      <c r="E6" s="2" t="s">
        <v>13</v>
      </c>
      <c r="F6" s="5">
        <f>F4*SQRT(B11/F5)</f>
        <v>0.5416025603090641</v>
      </c>
      <c r="G6" t="s">
        <v>59</v>
      </c>
    </row>
    <row r="7" spans="1:11" ht="12.75">
      <c r="A7" s="2"/>
      <c r="B7" s="13"/>
      <c r="I7" s="2" t="s">
        <v>60</v>
      </c>
      <c r="J7" s="3">
        <f>F8*F13^2/B14^2</f>
        <v>131.15702479338844</v>
      </c>
      <c r="K7" t="s">
        <v>24</v>
      </c>
    </row>
    <row r="8" spans="1:11" ht="12.75">
      <c r="A8" s="2"/>
      <c r="B8" s="2"/>
      <c r="D8" s="6" t="s">
        <v>113</v>
      </c>
      <c r="E8" s="2" t="s">
        <v>2</v>
      </c>
      <c r="F8" s="2">
        <v>0.3</v>
      </c>
      <c r="G8" t="s">
        <v>59</v>
      </c>
      <c r="I8" s="2" t="s">
        <v>12</v>
      </c>
      <c r="J8" s="3">
        <f>(B11-J7)/(F13-B10)/F18/B16*10</f>
        <v>5.6574189181352</v>
      </c>
      <c r="K8" t="s">
        <v>5</v>
      </c>
    </row>
    <row r="9" spans="5:7" ht="12.75">
      <c r="E9" s="2" t="s">
        <v>114</v>
      </c>
      <c r="F9" s="2">
        <v>15.7</v>
      </c>
      <c r="G9" t="s">
        <v>5</v>
      </c>
    </row>
    <row r="10" spans="1:7" ht="12.75">
      <c r="A10" s="2" t="s">
        <v>8</v>
      </c>
      <c r="B10" s="2">
        <v>0.04</v>
      </c>
      <c r="C10" t="s">
        <v>59</v>
      </c>
      <c r="E10" s="2" t="s">
        <v>13</v>
      </c>
      <c r="F10" s="5">
        <f>B11/(0.9*F9*B16)*10</f>
        <v>0.41641374263775777</v>
      </c>
      <c r="G10" t="s">
        <v>59</v>
      </c>
    </row>
    <row r="11" spans="1:3" ht="12.75">
      <c r="A11" s="2" t="s">
        <v>23</v>
      </c>
      <c r="B11" s="2">
        <v>220</v>
      </c>
      <c r="C11" t="s">
        <v>24</v>
      </c>
    </row>
    <row r="12" spans="5:7" ht="12.75">
      <c r="E12" s="2" t="s">
        <v>6</v>
      </c>
      <c r="F12" s="2">
        <v>0.5</v>
      </c>
      <c r="G12" t="s">
        <v>59</v>
      </c>
    </row>
    <row r="13" spans="1:7" ht="12.75">
      <c r="A13" s="16" t="s">
        <v>30</v>
      </c>
      <c r="B13" s="15">
        <f>B19/(B19-B22)</f>
        <v>0.25925925925925924</v>
      </c>
      <c r="E13" s="2" t="s">
        <v>13</v>
      </c>
      <c r="F13" s="2">
        <f>F12-B10</f>
        <v>0.46</v>
      </c>
      <c r="G13" t="s">
        <v>59</v>
      </c>
    </row>
    <row r="14" spans="1:6" ht="12.75">
      <c r="A14" s="2" t="s">
        <v>63</v>
      </c>
      <c r="B14" s="14">
        <v>0.022</v>
      </c>
      <c r="E14" s="2" t="s">
        <v>55</v>
      </c>
      <c r="F14" s="14">
        <f>F13/SQRT(B11/F8)</f>
        <v>0.016986625755147918</v>
      </c>
    </row>
    <row r="15" spans="5:6" ht="12.75">
      <c r="E15" s="2" t="s">
        <v>62</v>
      </c>
      <c r="F15" s="15">
        <f>B10/F13</f>
        <v>0.08695652173913043</v>
      </c>
    </row>
    <row r="16" spans="1:3" ht="12.75">
      <c r="A16" s="2" t="s">
        <v>79</v>
      </c>
      <c r="B16" s="2">
        <f>IF(B5="FeB44k",373.9,326.1)</f>
        <v>373.9</v>
      </c>
      <c r="C16" t="s">
        <v>17</v>
      </c>
    </row>
    <row r="17" spans="1:7" ht="12.75">
      <c r="A17" s="2" t="s">
        <v>16</v>
      </c>
      <c r="B17" s="2">
        <v>206000</v>
      </c>
      <c r="C17" t="s">
        <v>17</v>
      </c>
      <c r="E17" s="2" t="s">
        <v>30</v>
      </c>
      <c r="F17" s="15">
        <f>B13*F13</f>
        <v>0.11925925925925926</v>
      </c>
      <c r="G17" t="s">
        <v>59</v>
      </c>
    </row>
    <row r="18" spans="1:6" ht="12.75">
      <c r="A18" s="16"/>
      <c r="E18" s="2" t="s">
        <v>64</v>
      </c>
      <c r="F18" s="15">
        <f>MIN((F17-B10)/(F13-F17)*B22/B21,1)</f>
        <v>1</v>
      </c>
    </row>
    <row r="19" spans="1:6" ht="12.75">
      <c r="A19" s="2" t="s">
        <v>102</v>
      </c>
      <c r="B19" s="2">
        <v>-0.0035</v>
      </c>
      <c r="E19" s="2" t="s">
        <v>65</v>
      </c>
      <c r="F19" s="5">
        <f>1/F18*(1-(F14/B14)^2)</f>
        <v>0.4038317054845979</v>
      </c>
    </row>
    <row r="20" spans="1:2" ht="12.75">
      <c r="A20" s="2" t="s">
        <v>105</v>
      </c>
      <c r="B20" s="14">
        <v>-0.002</v>
      </c>
    </row>
    <row r="21" spans="1:2" ht="12.75">
      <c r="A21" s="2" t="s">
        <v>106</v>
      </c>
      <c r="B21" s="2">
        <f>ROUND(B16/B17,5)</f>
        <v>0.00182</v>
      </c>
    </row>
    <row r="22" spans="1:2" ht="12.75">
      <c r="A22" s="2" t="s">
        <v>109</v>
      </c>
      <c r="B22" s="15">
        <v>0.01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14"/>
  <dimension ref="A1:G22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152</v>
      </c>
    </row>
    <row r="2" ht="12.75">
      <c r="A2" s="1" t="s">
        <v>67</v>
      </c>
    </row>
    <row r="4" spans="1:6" ht="12.75">
      <c r="A4" s="2" t="s">
        <v>53</v>
      </c>
      <c r="B4" s="2">
        <v>25</v>
      </c>
      <c r="C4" t="s">
        <v>17</v>
      </c>
      <c r="D4" s="6" t="s">
        <v>115</v>
      </c>
      <c r="E4" s="2" t="s">
        <v>55</v>
      </c>
      <c r="F4" s="15">
        <v>0.021</v>
      </c>
    </row>
    <row r="5" spans="1:7" ht="12.75">
      <c r="A5" s="2" t="s">
        <v>57</v>
      </c>
      <c r="B5" s="2" t="s">
        <v>58</v>
      </c>
      <c r="E5" s="2" t="s">
        <v>6</v>
      </c>
      <c r="F5" s="2">
        <v>0.24</v>
      </c>
      <c r="G5" t="s">
        <v>59</v>
      </c>
    </row>
    <row r="6" spans="1:7" ht="12.75">
      <c r="A6" s="16" t="s">
        <v>78</v>
      </c>
      <c r="B6" s="2">
        <v>11.02</v>
      </c>
      <c r="C6" t="s">
        <v>17</v>
      </c>
      <c r="E6" s="2" t="s">
        <v>13</v>
      </c>
      <c r="F6" s="5">
        <f>F5-B9</f>
        <v>0.19999999999999998</v>
      </c>
      <c r="G6" t="s">
        <v>59</v>
      </c>
    </row>
    <row r="7" spans="1:7" ht="12.75">
      <c r="A7" s="2"/>
      <c r="B7" s="13"/>
      <c r="E7" s="2" t="s">
        <v>2</v>
      </c>
      <c r="F7" s="5">
        <f>B10*F4^2/F6^2</f>
        <v>1.3230000000000002</v>
      </c>
      <c r="G7" t="s">
        <v>59</v>
      </c>
    </row>
    <row r="9" spans="1:7" ht="12.75">
      <c r="A9" s="2" t="s">
        <v>8</v>
      </c>
      <c r="B9" s="2">
        <v>0.04</v>
      </c>
      <c r="C9" t="s">
        <v>59</v>
      </c>
      <c r="E9" s="2" t="s">
        <v>10</v>
      </c>
      <c r="F9" s="3">
        <f>B10/0.9/F6/B16*10</f>
        <v>17.830079343853082</v>
      </c>
      <c r="G9" t="s">
        <v>5</v>
      </c>
    </row>
    <row r="10" spans="1:3" ht="12.75">
      <c r="A10" s="2" t="s">
        <v>23</v>
      </c>
      <c r="B10" s="2">
        <v>120</v>
      </c>
      <c r="C10" t="s">
        <v>24</v>
      </c>
    </row>
    <row r="11" spans="5:6" ht="12.75">
      <c r="E11" s="2" t="s">
        <v>55</v>
      </c>
      <c r="F11" s="14">
        <f>F4</f>
        <v>0.021</v>
      </c>
    </row>
    <row r="12" ht="12.75">
      <c r="F12" s="15"/>
    </row>
    <row r="13" spans="1:2" ht="12.75">
      <c r="A13" s="16" t="s">
        <v>30</v>
      </c>
      <c r="B13" s="15">
        <f>B19/(B19-B22)</f>
        <v>0.25925925925925924</v>
      </c>
    </row>
    <row r="14" spans="1:7" ht="12.75">
      <c r="A14" s="2" t="s">
        <v>63</v>
      </c>
      <c r="B14" s="14">
        <v>0.022</v>
      </c>
      <c r="E14" s="2" t="s">
        <v>30</v>
      </c>
      <c r="F14" s="15">
        <f>B13*F6</f>
        <v>0.05185185185185184</v>
      </c>
      <c r="G14" t="s">
        <v>59</v>
      </c>
    </row>
    <row r="15" spans="5:6" ht="12.75">
      <c r="E15" s="2" t="s">
        <v>64</v>
      </c>
      <c r="F15" s="15">
        <f>MIN((F14-B9)/(F6-F14)*B22/B21,1)</f>
        <v>0.4395604395604393</v>
      </c>
    </row>
    <row r="16" spans="1:6" ht="12.75">
      <c r="A16" s="2" t="s">
        <v>79</v>
      </c>
      <c r="B16" s="2">
        <f>IF(B5="FeB44k",373.9,326.1)</f>
        <v>373.9</v>
      </c>
      <c r="C16" t="s">
        <v>17</v>
      </c>
      <c r="E16" s="2" t="s">
        <v>65</v>
      </c>
      <c r="F16" s="5">
        <f>1/F15*(1-(F11/B14)^2)</f>
        <v>0.20211776859504094</v>
      </c>
    </row>
    <row r="17" spans="1:7" ht="12.75">
      <c r="A17" s="2" t="s">
        <v>16</v>
      </c>
      <c r="B17" s="2">
        <v>206000</v>
      </c>
      <c r="C17" t="s">
        <v>17</v>
      </c>
      <c r="E17" s="2" t="s">
        <v>12</v>
      </c>
      <c r="F17" s="3">
        <f>F16*F9</f>
        <v>3.6037758508521165</v>
      </c>
      <c r="G17" t="s">
        <v>5</v>
      </c>
    </row>
    <row r="18" ht="12.75">
      <c r="A18" s="16"/>
    </row>
    <row r="19" spans="1:2" ht="12.75">
      <c r="A19" s="2" t="s">
        <v>102</v>
      </c>
      <c r="B19" s="2">
        <v>-0.0035</v>
      </c>
    </row>
    <row r="20" spans="1:2" ht="12.75">
      <c r="A20" s="2" t="s">
        <v>105</v>
      </c>
      <c r="B20" s="14">
        <v>-0.002</v>
      </c>
    </row>
    <row r="21" spans="1:2" ht="12.75">
      <c r="A21" s="2" t="s">
        <v>106</v>
      </c>
      <c r="B21" s="2">
        <f>ROUND(B16/B17,5)</f>
        <v>0.00182</v>
      </c>
    </row>
    <row r="22" spans="1:2" ht="12.75">
      <c r="A22" s="2" t="s">
        <v>109</v>
      </c>
      <c r="B22" s="15">
        <v>0.01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G20"/>
  <sheetViews>
    <sheetView workbookViewId="0" topLeftCell="A1">
      <selection activeCell="A3" sqref="A3"/>
    </sheetView>
  </sheetViews>
  <sheetFormatPr defaultColWidth="9.140625" defaultRowHeight="12.75"/>
  <cols>
    <col min="9" max="9" width="10.00390625" style="0" bestFit="1" customWidth="1"/>
  </cols>
  <sheetData>
    <row r="1" ht="12.75">
      <c r="A1" s="1" t="s">
        <v>27</v>
      </c>
    </row>
    <row r="2" ht="12.75">
      <c r="A2" s="1" t="s">
        <v>28</v>
      </c>
    </row>
    <row r="5" spans="1:6" ht="12.75">
      <c r="A5" s="2" t="s">
        <v>2</v>
      </c>
      <c r="B5" s="2">
        <v>30</v>
      </c>
      <c r="C5" t="s">
        <v>3</v>
      </c>
      <c r="D5" s="6" t="s">
        <v>29</v>
      </c>
      <c r="E5" s="2" t="s">
        <v>21</v>
      </c>
      <c r="F5" s="2">
        <v>7.02</v>
      </c>
    </row>
    <row r="6" spans="1:7" ht="12.75">
      <c r="A6" s="2" t="s">
        <v>6</v>
      </c>
      <c r="B6" s="2">
        <v>50</v>
      </c>
      <c r="C6" t="s">
        <v>3</v>
      </c>
      <c r="E6" s="2" t="s">
        <v>30</v>
      </c>
      <c r="F6" s="5">
        <f>F5*(B8+B9)/B5*(-1+SQRT(1+2*B5*(B8*B10+B9*B7)/F5/(B8+B9)^2))</f>
        <v>13.356446488450942</v>
      </c>
      <c r="G6" t="s">
        <v>3</v>
      </c>
    </row>
    <row r="7" spans="1:7" ht="12.75">
      <c r="A7" s="2" t="s">
        <v>8</v>
      </c>
      <c r="B7" s="2">
        <v>4</v>
      </c>
      <c r="C7" t="s">
        <v>3</v>
      </c>
      <c r="E7" s="2" t="s">
        <v>14</v>
      </c>
      <c r="F7" s="4">
        <f>$B$5*F6^3/3+F5*($B$9*(F6-$B$7)^2+$B$8*($B$10-F6)^2)</f>
        <v>119675.37991629526</v>
      </c>
      <c r="G7" t="s">
        <v>15</v>
      </c>
    </row>
    <row r="8" spans="1:7" ht="12.75">
      <c r="A8" s="2" t="s">
        <v>10</v>
      </c>
      <c r="B8" s="2">
        <v>12.56</v>
      </c>
      <c r="C8" t="s">
        <v>5</v>
      </c>
      <c r="E8" s="2" t="s">
        <v>18</v>
      </c>
      <c r="F8" s="5">
        <f>-$B$16/F7*F6*1000</f>
        <v>-5.580281632610174</v>
      </c>
      <c r="G8" t="s">
        <v>17</v>
      </c>
    </row>
    <row r="9" spans="1:7" ht="12.75">
      <c r="A9" s="2" t="s">
        <v>12</v>
      </c>
      <c r="B9" s="2">
        <v>3.08</v>
      </c>
      <c r="C9" t="s">
        <v>5</v>
      </c>
      <c r="E9" s="2" t="s">
        <v>22</v>
      </c>
      <c r="F9" s="3">
        <f>-$B$16/F7*(F6-$B$7)*1000*F5</f>
        <v>-27.441840750731625</v>
      </c>
      <c r="G9" t="s">
        <v>17</v>
      </c>
    </row>
    <row r="10" spans="1:7" ht="12.75">
      <c r="A10" s="2" t="s">
        <v>13</v>
      </c>
      <c r="B10" s="2">
        <f>B6-B7</f>
        <v>46</v>
      </c>
      <c r="C10" t="s">
        <v>3</v>
      </c>
      <c r="E10" s="2" t="s">
        <v>25</v>
      </c>
      <c r="F10" s="3">
        <f>-$B$16/F7*(F6-$B$10)*1000*F5</f>
        <v>95.7413905062823</v>
      </c>
      <c r="G10" t="s">
        <v>17</v>
      </c>
    </row>
    <row r="12" spans="1:6" ht="12.75">
      <c r="A12" s="2" t="s">
        <v>16</v>
      </c>
      <c r="B12" s="2">
        <v>206000</v>
      </c>
      <c r="C12" t="s">
        <v>17</v>
      </c>
      <c r="D12" s="6" t="s">
        <v>31</v>
      </c>
      <c r="E12" s="2" t="s">
        <v>21</v>
      </c>
      <c r="F12" s="2">
        <v>15</v>
      </c>
    </row>
    <row r="13" spans="1:7" ht="12.75">
      <c r="A13" s="2" t="s">
        <v>19</v>
      </c>
      <c r="B13" s="2">
        <v>28500</v>
      </c>
      <c r="C13" t="s">
        <v>17</v>
      </c>
      <c r="E13" s="2" t="s">
        <v>30</v>
      </c>
      <c r="F13" s="5">
        <f>F12*(B8+B9)/B5*(-1+SQRT(1+2*B5*(B8*B10+B9*B7)/F12/(B8+B9)^2))</f>
        <v>17.69925547503297</v>
      </c>
      <c r="G13" t="s">
        <v>3</v>
      </c>
    </row>
    <row r="14" spans="5:7" ht="12.75">
      <c r="E14" s="2" t="s">
        <v>14</v>
      </c>
      <c r="F14" s="4">
        <f>$B$5*F13^3/3+F12*($B$9*(F13-$B$7)^2+$B$8*($B$10-F13)^2)</f>
        <v>215011.28357562286</v>
      </c>
      <c r="G14" t="s">
        <v>15</v>
      </c>
    </row>
    <row r="15" spans="5:7" ht="12.75">
      <c r="E15" s="2" t="s">
        <v>18</v>
      </c>
      <c r="F15" s="5">
        <f>-$B$16/F14*F13*1000</f>
        <v>-4.115889915332715</v>
      </c>
      <c r="G15" t="s">
        <v>17</v>
      </c>
    </row>
    <row r="16" spans="1:7" ht="12.75">
      <c r="A16" s="2" t="s">
        <v>23</v>
      </c>
      <c r="B16" s="2">
        <v>50</v>
      </c>
      <c r="C16" t="s">
        <v>24</v>
      </c>
      <c r="E16" s="2" t="s">
        <v>22</v>
      </c>
      <c r="F16" s="3">
        <f>-$B$16/F14*(F13-$B$7)*1000*F12</f>
        <v>-47.785592622914805</v>
      </c>
      <c r="G16" t="s">
        <v>17</v>
      </c>
    </row>
    <row r="17" spans="5:7" ht="12.75">
      <c r="E17" s="2" t="s">
        <v>25</v>
      </c>
      <c r="F17" s="3">
        <f>-$B$16/F14*(F13-$B$10)*1000*F12</f>
        <v>98.71834650138214</v>
      </c>
      <c r="G17" t="s">
        <v>17</v>
      </c>
    </row>
    <row r="19" spans="1:7" ht="12.75">
      <c r="A19" s="2" t="s">
        <v>32</v>
      </c>
      <c r="B19" s="2">
        <v>8.5</v>
      </c>
      <c r="C19" t="s">
        <v>17</v>
      </c>
      <c r="D19" s="6" t="s">
        <v>33</v>
      </c>
      <c r="E19" s="2" t="s">
        <v>34</v>
      </c>
      <c r="F19" s="3">
        <f>B19*F14/F13/1000</f>
        <v>103.25834965040471</v>
      </c>
      <c r="G19" t="s">
        <v>24</v>
      </c>
    </row>
    <row r="20" spans="1:7" ht="12.75">
      <c r="A20" s="2" t="s">
        <v>35</v>
      </c>
      <c r="B20" s="2">
        <v>255</v>
      </c>
      <c r="C20" t="s">
        <v>17</v>
      </c>
      <c r="E20" s="2" t="s">
        <v>36</v>
      </c>
      <c r="F20" s="3">
        <f>B20*F14/F12/(B10-F13)/1000</f>
        <v>129.15532372517492</v>
      </c>
      <c r="G20" t="s">
        <v>24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G17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37</v>
      </c>
    </row>
    <row r="2" ht="12.75">
      <c r="A2" s="1" t="s">
        <v>38</v>
      </c>
    </row>
    <row r="5" spans="1:6" ht="12.75">
      <c r="A5" s="2" t="s">
        <v>2</v>
      </c>
      <c r="B5" s="2">
        <v>30</v>
      </c>
      <c r="C5" t="s">
        <v>3</v>
      </c>
      <c r="E5" s="2" t="s">
        <v>21</v>
      </c>
      <c r="F5" s="2">
        <v>15</v>
      </c>
    </row>
    <row r="6" spans="1:7" ht="12.75">
      <c r="A6" s="2" t="s">
        <v>6</v>
      </c>
      <c r="B6" s="2">
        <v>60</v>
      </c>
      <c r="C6" t="s">
        <v>3</v>
      </c>
      <c r="E6" s="2" t="s">
        <v>30</v>
      </c>
      <c r="F6" s="5">
        <f>F5*(B10+B11)/B7*(-1+SQRT(1+2*B7*(B10*B12+B11*B9)/F5/(B10+B11)^2))</f>
        <v>16.55471419302288</v>
      </c>
      <c r="G6" t="s">
        <v>3</v>
      </c>
    </row>
    <row r="7" spans="1:7" ht="12.75">
      <c r="A7" s="2" t="s">
        <v>39</v>
      </c>
      <c r="B7" s="2">
        <v>50</v>
      </c>
      <c r="C7" t="s">
        <v>3</v>
      </c>
      <c r="E7" s="2" t="s">
        <v>14</v>
      </c>
      <c r="F7" s="4">
        <f>$B$7*F6^3/3+F5*($B$11*(F6-$B$9)^2+$B$10*($B$12-F6)^2)</f>
        <v>376035.4224761388</v>
      </c>
      <c r="G7" t="s">
        <v>15</v>
      </c>
    </row>
    <row r="8" spans="1:7" ht="12.75">
      <c r="A8" s="2" t="s">
        <v>40</v>
      </c>
      <c r="B8" s="2">
        <v>20</v>
      </c>
      <c r="C8" t="s">
        <v>3</v>
      </c>
      <c r="E8" s="2" t="s">
        <v>18</v>
      </c>
      <c r="F8" s="5">
        <f>-$B$17/F7*F6*1000</f>
        <v>-5.282921726047769</v>
      </c>
      <c r="G8" t="s">
        <v>17</v>
      </c>
    </row>
    <row r="9" spans="1:7" ht="12.75">
      <c r="A9" s="2" t="s">
        <v>8</v>
      </c>
      <c r="B9" s="2">
        <v>4</v>
      </c>
      <c r="C9" t="s">
        <v>3</v>
      </c>
      <c r="E9" s="2" t="s">
        <v>22</v>
      </c>
      <c r="F9" s="3">
        <f>-$B$17/F7*(F6-$B$9)*1000*F5</f>
        <v>-60.09669354720209</v>
      </c>
      <c r="G9" t="s">
        <v>17</v>
      </c>
    </row>
    <row r="10" spans="1:7" ht="12.75">
      <c r="A10" s="2" t="s">
        <v>10</v>
      </c>
      <c r="B10" s="2">
        <v>12.56</v>
      </c>
      <c r="C10" t="s">
        <v>5</v>
      </c>
      <c r="E10" s="2" t="s">
        <v>25</v>
      </c>
      <c r="F10" s="3">
        <f>-$B$17/F7*(F6-$B$12)*1000*F5</f>
        <v>188.81602691848585</v>
      </c>
      <c r="G10" t="s">
        <v>17</v>
      </c>
    </row>
    <row r="11" spans="1:3" ht="12.75">
      <c r="A11" s="2" t="s">
        <v>12</v>
      </c>
      <c r="B11" s="2">
        <v>3.08</v>
      </c>
      <c r="C11" t="s">
        <v>5</v>
      </c>
    </row>
    <row r="12" spans="1:3" ht="12.75">
      <c r="A12" s="2" t="s">
        <v>13</v>
      </c>
      <c r="B12" s="2">
        <f>B6-B9</f>
        <v>56</v>
      </c>
      <c r="C12" t="s">
        <v>3</v>
      </c>
    </row>
    <row r="14" spans="1:3" ht="12.75">
      <c r="A14" s="2" t="s">
        <v>16</v>
      </c>
      <c r="B14" s="2">
        <v>206000</v>
      </c>
      <c r="C14" t="s">
        <v>17</v>
      </c>
    </row>
    <row r="15" spans="1:3" ht="12.75">
      <c r="A15" s="2" t="s">
        <v>19</v>
      </c>
      <c r="B15" s="2">
        <v>28500</v>
      </c>
      <c r="C15" t="s">
        <v>17</v>
      </c>
    </row>
    <row r="17" spans="1:3" ht="12.75">
      <c r="A17" s="2" t="s">
        <v>23</v>
      </c>
      <c r="B17" s="2">
        <v>120</v>
      </c>
      <c r="C17" t="s">
        <v>24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J17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41</v>
      </c>
    </row>
    <row r="2" ht="12.75">
      <c r="A2" s="1" t="s">
        <v>42</v>
      </c>
    </row>
    <row r="5" spans="1:6" ht="12.75">
      <c r="A5" s="2" t="s">
        <v>2</v>
      </c>
      <c r="B5" s="2">
        <v>30</v>
      </c>
      <c r="C5" t="s">
        <v>3</v>
      </c>
      <c r="E5" s="2" t="s">
        <v>21</v>
      </c>
      <c r="F5" s="2">
        <v>15</v>
      </c>
    </row>
    <row r="6" spans="1:7" ht="12.75">
      <c r="A6" s="2" t="s">
        <v>6</v>
      </c>
      <c r="B6" s="2">
        <v>80</v>
      </c>
      <c r="C6" t="s">
        <v>3</v>
      </c>
      <c r="E6" s="2" t="s">
        <v>30</v>
      </c>
      <c r="F6" s="5">
        <f>F5*(B10+B11)/B7*(-1+SQRT(1+2*B7*(B10*B12+B11*B9)/F5/(B10+B11)^2))</f>
        <v>23.585892778802858</v>
      </c>
      <c r="G6" t="s">
        <v>3</v>
      </c>
    </row>
    <row r="7" spans="1:7" ht="12.75">
      <c r="A7" s="2" t="s">
        <v>39</v>
      </c>
      <c r="B7" s="2">
        <v>50</v>
      </c>
      <c r="C7" t="s">
        <v>3</v>
      </c>
      <c r="E7" s="2" t="s">
        <v>14</v>
      </c>
      <c r="F7" s="4">
        <f>$B$7*F6^3/3+F5*($B$11*(F6-$B$9)^2+$B$10*($B$12-F6)^2)</f>
        <v>1012770.6011550623</v>
      </c>
      <c r="G7" t="s">
        <v>15</v>
      </c>
    </row>
    <row r="8" spans="1:7" ht="12.75">
      <c r="A8" s="2" t="s">
        <v>40</v>
      </c>
      <c r="B8" s="2">
        <v>15</v>
      </c>
      <c r="C8" t="s">
        <v>3</v>
      </c>
      <c r="E8" s="2" t="s">
        <v>18</v>
      </c>
      <c r="F8" s="5">
        <f>-$B$17/F7*F6*1000</f>
        <v>-7.45231514482058</v>
      </c>
      <c r="G8" t="s">
        <v>17</v>
      </c>
    </row>
    <row r="9" spans="1:7" ht="12.75">
      <c r="A9" s="2" t="s">
        <v>8</v>
      </c>
      <c r="B9" s="2">
        <v>4</v>
      </c>
      <c r="C9" t="s">
        <v>3</v>
      </c>
      <c r="E9" s="2" t="s">
        <v>22</v>
      </c>
      <c r="F9" s="3">
        <f>-$B$17/F7*(F6-$B$9)*1000*F5</f>
        <v>-92.82683090428667</v>
      </c>
      <c r="G9" t="s">
        <v>17</v>
      </c>
    </row>
    <row r="10" spans="1:7" ht="12.75">
      <c r="A10" s="2" t="s">
        <v>10</v>
      </c>
      <c r="B10" s="2">
        <v>18.84</v>
      </c>
      <c r="C10" t="s">
        <v>5</v>
      </c>
      <c r="E10" s="2" t="s">
        <v>25</v>
      </c>
      <c r="F10" s="3">
        <f>-$B$17/F7*(F6-$B$12)*1000*F5</f>
        <v>248.41530192011015</v>
      </c>
      <c r="G10" t="s">
        <v>17</v>
      </c>
    </row>
    <row r="11" spans="1:3" ht="12.75">
      <c r="A11" s="2" t="s">
        <v>12</v>
      </c>
      <c r="B11" s="2">
        <v>3.08</v>
      </c>
      <c r="C11" t="s">
        <v>5</v>
      </c>
    </row>
    <row r="12" spans="1:10" ht="12.75">
      <c r="A12" s="2" t="s">
        <v>13</v>
      </c>
      <c r="B12" s="2">
        <f>B6-B9</f>
        <v>76</v>
      </c>
      <c r="C12" t="s">
        <v>3</v>
      </c>
      <c r="E12" s="2" t="s">
        <v>30</v>
      </c>
      <c r="F12" s="5">
        <v>24.134141526331355</v>
      </c>
      <c r="G12" t="s">
        <v>3</v>
      </c>
      <c r="H12" s="2" t="s">
        <v>14</v>
      </c>
      <c r="I12" s="2">
        <f>$B$7*F12^3/3-(B7-B5)*(F12-B8)^3/3+F5*($B$11*(F12-$B$9)^2+$B$10*($B$12-F12)^2)</f>
        <v>1008146.0814867434</v>
      </c>
      <c r="J12" s="2" t="s">
        <v>15</v>
      </c>
    </row>
    <row r="13" spans="5:10" ht="12.75">
      <c r="E13" s="2" t="s">
        <v>43</v>
      </c>
      <c r="F13" s="2">
        <f>B7*F12^2/2</f>
        <v>14561.419680324789</v>
      </c>
      <c r="H13" s="2" t="s">
        <v>18</v>
      </c>
      <c r="I13" s="5">
        <f>-$B$17/I12*F12*1000</f>
        <v>-7.660522051563007</v>
      </c>
      <c r="J13" t="s">
        <v>17</v>
      </c>
    </row>
    <row r="14" spans="1:10" ht="12.75">
      <c r="A14" s="2" t="s">
        <v>16</v>
      </c>
      <c r="B14" s="2">
        <v>206000</v>
      </c>
      <c r="C14" t="s">
        <v>17</v>
      </c>
      <c r="E14" s="2" t="s">
        <v>44</v>
      </c>
      <c r="F14" s="2">
        <f>-(B7-B5)*(F12-B8)^2/2</f>
        <v>-834.325414230509</v>
      </c>
      <c r="H14" s="2" t="s">
        <v>22</v>
      </c>
      <c r="I14" s="3">
        <f>-$B$17/I12*(F12-$B$9)*1000*F5</f>
        <v>-95.86297174697823</v>
      </c>
      <c r="J14" t="s">
        <v>17</v>
      </c>
    </row>
    <row r="15" spans="1:10" ht="12.75">
      <c r="A15" s="2" t="s">
        <v>19</v>
      </c>
      <c r="B15" s="2">
        <v>28500</v>
      </c>
      <c r="C15" t="s">
        <v>17</v>
      </c>
      <c r="E15" s="2" t="s">
        <v>45</v>
      </c>
      <c r="F15" s="2">
        <f>F5*B11*(F12-B9)</f>
        <v>930.1973385165087</v>
      </c>
      <c r="H15" s="2" t="s">
        <v>20</v>
      </c>
      <c r="I15" s="3">
        <f>-$B$17/I12*(F12-B12)*1000*F5</f>
        <v>246.94449072942524</v>
      </c>
      <c r="J15" t="s">
        <v>17</v>
      </c>
    </row>
    <row r="16" spans="5:6" ht="12.75">
      <c r="E16" s="2" t="s">
        <v>46</v>
      </c>
      <c r="F16" s="2">
        <f>-F5*B10*(B12-F12)</f>
        <v>-14657.29160465876</v>
      </c>
    </row>
    <row r="17" spans="1:6" ht="12.75">
      <c r="A17" s="2" t="s">
        <v>23</v>
      </c>
      <c r="B17" s="2">
        <v>320</v>
      </c>
      <c r="C17" t="s">
        <v>24</v>
      </c>
      <c r="E17" s="2" t="s">
        <v>47</v>
      </c>
      <c r="F17" s="2">
        <f>SUM(F13:F16)</f>
        <v>-4.797038855031133E-08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K21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48</v>
      </c>
    </row>
    <row r="2" ht="12.75">
      <c r="A2" s="1" t="s">
        <v>49</v>
      </c>
    </row>
    <row r="4" spans="5:10" ht="12.75">
      <c r="E4" s="7" t="s">
        <v>116</v>
      </c>
      <c r="F4" s="8"/>
      <c r="G4" s="8"/>
      <c r="H4" s="8"/>
      <c r="J4" s="7" t="s">
        <v>117</v>
      </c>
    </row>
    <row r="5" spans="4:11" ht="12.75">
      <c r="D5" s="2"/>
      <c r="E5" s="8" t="s">
        <v>30</v>
      </c>
      <c r="F5" s="8" t="s">
        <v>50</v>
      </c>
      <c r="G5" s="8" t="s">
        <v>4</v>
      </c>
      <c r="H5" s="8" t="s">
        <v>30</v>
      </c>
      <c r="J5" s="8" t="s">
        <v>30</v>
      </c>
      <c r="K5" s="8" t="s">
        <v>50</v>
      </c>
    </row>
    <row r="6" spans="1:11" ht="12.75">
      <c r="A6" s="2" t="s">
        <v>2</v>
      </c>
      <c r="B6" s="2">
        <v>30</v>
      </c>
      <c r="C6" t="s">
        <v>3</v>
      </c>
      <c r="D6" s="2"/>
      <c r="E6" s="2">
        <v>0</v>
      </c>
      <c r="F6" s="4">
        <f aca="true" t="shared" si="0" ref="F6:F11">$B$6*E6^2/2+($B$8-$B$6)*MIN($B$9,E6)^2/2+$B$15*$B$12*$B$10+$B$15*$B$11*$B$13</f>
        <v>21662.4</v>
      </c>
      <c r="G6" s="4">
        <f aca="true" t="shared" si="1" ref="G6:G11">$B$6*E6+($B$8-$B$6)*MIN($B$9,E6)+$B$15*$B$12+$B$15*$B$11</f>
        <v>328.8</v>
      </c>
      <c r="H6" s="5">
        <f aca="true" t="shared" si="2" ref="H6:H11">F6/G6</f>
        <v>65.88321167883213</v>
      </c>
      <c r="J6" s="2">
        <v>0</v>
      </c>
      <c r="K6" s="4">
        <f aca="true" t="shared" si="3" ref="K6:K20">$B$8*J6^2/2-IF(J6&lt;=$B$9,0,($B$8-$B$6)*(J6-$B$9)^2/2)+$B$15*$B$12*(J6-$B$10)+$B$15*$B$11*(J6-$B$13)</f>
        <v>-21662.4</v>
      </c>
    </row>
    <row r="7" spans="1:11" ht="12.75">
      <c r="A7" s="2" t="s">
        <v>6</v>
      </c>
      <c r="B7" s="2">
        <v>80</v>
      </c>
      <c r="C7" t="s">
        <v>3</v>
      </c>
      <c r="D7" s="2"/>
      <c r="E7" s="5">
        <f>H6</f>
        <v>65.88321167883213</v>
      </c>
      <c r="F7" s="4">
        <f t="shared" si="0"/>
        <v>89021.36371676704</v>
      </c>
      <c r="G7" s="4">
        <f t="shared" si="1"/>
        <v>2605.2963503649635</v>
      </c>
      <c r="H7" s="5">
        <f t="shared" si="2"/>
        <v>34.16938103962586</v>
      </c>
      <c r="I7" s="4"/>
      <c r="J7" s="2">
        <v>80</v>
      </c>
      <c r="K7" s="4">
        <f t="shared" si="3"/>
        <v>122391.59999999999</v>
      </c>
    </row>
    <row r="8" spans="1:11" ht="12.75">
      <c r="A8" s="2" t="s">
        <v>39</v>
      </c>
      <c r="B8" s="2">
        <v>50</v>
      </c>
      <c r="C8" t="s">
        <v>3</v>
      </c>
      <c r="D8" s="2"/>
      <c r="E8" s="5">
        <f>H7</f>
        <v>34.16938103962586</v>
      </c>
      <c r="F8" s="4">
        <f t="shared" si="0"/>
        <v>41425.59900946715</v>
      </c>
      <c r="G8" s="4">
        <f t="shared" si="1"/>
        <v>1653.8814311887759</v>
      </c>
      <c r="H8" s="5">
        <f t="shared" si="2"/>
        <v>25.047502334971668</v>
      </c>
      <c r="I8" s="4"/>
      <c r="J8" s="2">
        <v>40</v>
      </c>
      <c r="K8" s="4">
        <f t="shared" si="3"/>
        <v>25239.6</v>
      </c>
    </row>
    <row r="9" spans="1:11" ht="12.75">
      <c r="A9" s="2" t="s">
        <v>40</v>
      </c>
      <c r="B9" s="2">
        <v>15</v>
      </c>
      <c r="C9" t="s">
        <v>3</v>
      </c>
      <c r="D9" s="2"/>
      <c r="E9" s="5">
        <f>H8</f>
        <v>25.047502334971668</v>
      </c>
      <c r="F9" s="4">
        <f t="shared" si="0"/>
        <v>33323.06059830617</v>
      </c>
      <c r="G9" s="4">
        <f t="shared" si="1"/>
        <v>1380.22507004915</v>
      </c>
      <c r="H9" s="5">
        <f t="shared" si="2"/>
        <v>24.143207743009285</v>
      </c>
      <c r="I9" s="4"/>
      <c r="J9" s="2">
        <v>20</v>
      </c>
      <c r="K9" s="4">
        <f t="shared" si="3"/>
        <v>-5336.4000000000015</v>
      </c>
    </row>
    <row r="10" spans="1:11" ht="12.75">
      <c r="A10" s="2" t="s">
        <v>8</v>
      </c>
      <c r="B10" s="2">
        <v>4</v>
      </c>
      <c r="C10" t="s">
        <v>3</v>
      </c>
      <c r="D10" s="2"/>
      <c r="E10" s="5">
        <f>H9</f>
        <v>24.143207743009285</v>
      </c>
      <c r="F10" s="4">
        <f t="shared" si="0"/>
        <v>32655.817201831553</v>
      </c>
      <c r="G10" s="4">
        <f t="shared" si="1"/>
        <v>1353.0962322902787</v>
      </c>
      <c r="H10" s="5">
        <f t="shared" si="2"/>
        <v>24.13414243756901</v>
      </c>
      <c r="I10" s="4"/>
      <c r="J10" s="2">
        <v>30</v>
      </c>
      <c r="K10" s="4">
        <f t="shared" si="3"/>
        <v>8451.6</v>
      </c>
    </row>
    <row r="11" spans="1:11" ht="12.75">
      <c r="A11" s="2" t="s">
        <v>10</v>
      </c>
      <c r="B11" s="2">
        <v>18.84</v>
      </c>
      <c r="C11" t="s">
        <v>5</v>
      </c>
      <c r="D11" s="2"/>
      <c r="E11" s="5">
        <f>H10</f>
        <v>24.13414243756901</v>
      </c>
      <c r="F11" s="4">
        <f t="shared" si="0"/>
        <v>32649.252467953047</v>
      </c>
      <c r="G11" s="4">
        <f t="shared" si="1"/>
        <v>1352.8242731270702</v>
      </c>
      <c r="H11" s="5">
        <f t="shared" si="2"/>
        <v>24.13414152636683</v>
      </c>
      <c r="I11" s="4"/>
      <c r="J11" s="2">
        <v>25</v>
      </c>
      <c r="K11" s="4">
        <f t="shared" si="3"/>
        <v>1182.6000000000004</v>
      </c>
    </row>
    <row r="12" spans="1:11" ht="12.75">
      <c r="A12" s="2" t="s">
        <v>12</v>
      </c>
      <c r="B12" s="2">
        <v>3.08</v>
      </c>
      <c r="C12" t="s">
        <v>5</v>
      </c>
      <c r="D12" s="2"/>
      <c r="I12" s="4"/>
      <c r="J12" s="2">
        <v>22.5</v>
      </c>
      <c r="K12" s="4">
        <f t="shared" si="3"/>
        <v>-2170.6499999999996</v>
      </c>
    </row>
    <row r="13" spans="1:11" ht="12.75">
      <c r="A13" s="2" t="s">
        <v>13</v>
      </c>
      <c r="B13" s="2">
        <f>B7-B10</f>
        <v>76</v>
      </c>
      <c r="C13" t="s">
        <v>3</v>
      </c>
      <c r="D13" s="2"/>
      <c r="E13" s="7" t="s">
        <v>117</v>
      </c>
      <c r="I13" s="4"/>
      <c r="J13" s="2">
        <v>23.75</v>
      </c>
      <c r="K13" s="4">
        <f t="shared" si="3"/>
        <v>-517.4624999999996</v>
      </c>
    </row>
    <row r="14" spans="4:11" ht="12.75">
      <c r="D14" s="2"/>
      <c r="E14" s="8" t="s">
        <v>30</v>
      </c>
      <c r="F14" s="8" t="s">
        <v>50</v>
      </c>
      <c r="G14" s="9" t="s">
        <v>30</v>
      </c>
      <c r="H14" s="10" t="s">
        <v>50</v>
      </c>
      <c r="J14" s="2">
        <v>24.375</v>
      </c>
      <c r="K14" s="4">
        <f t="shared" si="3"/>
        <v>326.70937500000036</v>
      </c>
    </row>
    <row r="15" spans="1:11" ht="12.75">
      <c r="A15" s="2" t="s">
        <v>21</v>
      </c>
      <c r="B15" s="2">
        <v>15</v>
      </c>
      <c r="D15" s="2"/>
      <c r="E15" s="2">
        <v>0</v>
      </c>
      <c r="F15" s="4">
        <f>$B$8*E15^2/2-IF(E15&lt;=$B$9,0,($B$8-$B$6)*(E15-$B$9)^2/2)+$B$15*$B$12*(E15-$B$10)+$B$15*$B$11*(E15-$B$13)</f>
        <v>-21662.4</v>
      </c>
      <c r="G15" s="11">
        <v>25</v>
      </c>
      <c r="H15" s="12">
        <f>$B$8*G15^2/2-IF(G15&lt;=$B$9,0,($B$8-$B$6)*(G15-$B$9)^2/2)+$B$15*$B$12*(G15-$B$10)+$B$15*$B$11*(G15-$B$13)</f>
        <v>1182.6000000000004</v>
      </c>
      <c r="J15" s="2">
        <v>24.0625</v>
      </c>
      <c r="K15" s="4">
        <f t="shared" si="3"/>
        <v>-96.84140624999964</v>
      </c>
    </row>
    <row r="16" spans="4:11" ht="12.75">
      <c r="D16" s="2"/>
      <c r="E16" s="2">
        <v>80</v>
      </c>
      <c r="F16" s="4">
        <f>$B$8*E16^2/2-IF(E16&lt;=$B$9,0,($B$8-$B$6)*(E16-$B$9)^2/2)+$B$15*$B$12*(E16-$B$10)+$B$15*$B$11*(E16-$B$13)</f>
        <v>122391.59999999999</v>
      </c>
      <c r="G16" s="11">
        <v>24.2</v>
      </c>
      <c r="H16" s="12">
        <f>$B$8*G16^2/2-IF(G16&lt;=$B$9,0,($B$8-$B$6)*(G16-$B$9)^2/2)+$B$15*$B$12*(G16-$B$10)+$B$15*$B$11*(G16-$B$13)</f>
        <v>89.15999999999985</v>
      </c>
      <c r="J16" s="2">
        <v>24.21875</v>
      </c>
      <c r="K16" s="4">
        <f t="shared" si="3"/>
        <v>114.56777343750036</v>
      </c>
    </row>
    <row r="17" spans="1:11" ht="12.75">
      <c r="A17" s="2" t="s">
        <v>23</v>
      </c>
      <c r="B17" s="2">
        <v>320</v>
      </c>
      <c r="C17" t="s">
        <v>24</v>
      </c>
      <c r="D17" s="2"/>
      <c r="E17" s="2">
        <v>30</v>
      </c>
      <c r="F17" s="4">
        <f>$B$8*E17^2/2-IF(E17&lt;=$B$9,0,($B$8-$B$6)*(E17-$B$9)^2/2)+$B$15*$B$12*(E17-$B$10)+$B$15*$B$11*(E17-$B$13)</f>
        <v>8451.6</v>
      </c>
      <c r="G17" s="11">
        <v>24.1</v>
      </c>
      <c r="H17" s="12">
        <f>$B$8*G17^2/2-IF(G17&lt;=$B$9,0,($B$8-$B$6)*(G17-$B$9)^2/2)+$B$15*$B$12*(G17-$B$10)+$B$15*$B$11*(G17-$B$13)</f>
        <v>-46.169999999998254</v>
      </c>
      <c r="J17" s="2">
        <v>24.140625</v>
      </c>
      <c r="K17" s="4">
        <f t="shared" si="3"/>
        <v>8.771630859375364</v>
      </c>
    </row>
    <row r="18" spans="4:11" ht="12.75">
      <c r="D18" s="2"/>
      <c r="E18" s="2">
        <v>20</v>
      </c>
      <c r="F18" s="4">
        <f>$B$8*E18^2/2-IF(E18&lt;=$B$9,0,($B$8-$B$6)*(E18-$B$9)^2/2)+$B$15*$B$12*(E18-$B$10)+$B$15*$B$11*(E18-$B$13)</f>
        <v>-5336.4000000000015</v>
      </c>
      <c r="G18" s="11">
        <v>24.14</v>
      </c>
      <c r="H18" s="12">
        <f>$B$8*G18^2/2-IF(G18&lt;=$B$9,0,($B$8-$B$6)*(G18-$B$9)^2/2)+$B$15*$B$12*(G18-$B$10)+$B$15*$B$11*(G18-$B$13)</f>
        <v>7.925999999999476</v>
      </c>
      <c r="J18" s="2">
        <v>24.1015625</v>
      </c>
      <c r="K18" s="4">
        <f t="shared" si="3"/>
        <v>-44.057775878905886</v>
      </c>
    </row>
    <row r="19" spans="4:11" ht="12.75">
      <c r="D19" s="2"/>
      <c r="E19" s="2">
        <v>24</v>
      </c>
      <c r="F19" s="4">
        <f>$B$8*E19^2/2-IF(E19&lt;=$B$9,0,($B$8-$B$6)*(E19-$B$9)^2/2)+$B$15*$B$12*(E19-$B$10)+$B$15*$B$11*(E19-$B$13)</f>
        <v>-181.20000000000073</v>
      </c>
      <c r="G19" s="11">
        <v>24.13</v>
      </c>
      <c r="H19" s="12">
        <f>$B$8*G19^2/2-IF(G19&lt;=$B$9,0,($B$8-$B$6)*(G19-$B$9)^2/2)+$B$15*$B$12*(G19-$B$10)+$B$15*$B$11*(G19-$B$13)</f>
        <v>-5.602500000004511</v>
      </c>
      <c r="J19" s="2">
        <v>24.12109375</v>
      </c>
      <c r="K19" s="4">
        <f t="shared" si="3"/>
        <v>-17.6487945556637</v>
      </c>
    </row>
    <row r="20" spans="4:11" ht="12.75">
      <c r="D20" s="2"/>
      <c r="J20" s="2">
        <v>24.1308594</v>
      </c>
      <c r="K20" s="4">
        <f t="shared" si="3"/>
        <v>-4.439978541475284</v>
      </c>
    </row>
    <row r="21" ht="12.75">
      <c r="D21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K16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51</v>
      </c>
    </row>
    <row r="2" ht="12.75">
      <c r="A2" s="1" t="s">
        <v>52</v>
      </c>
    </row>
    <row r="4" spans="1:11" ht="12.75">
      <c r="A4" s="2" t="s">
        <v>53</v>
      </c>
      <c r="B4" s="2">
        <v>25</v>
      </c>
      <c r="C4" t="s">
        <v>17</v>
      </c>
      <c r="D4" s="6" t="s">
        <v>54</v>
      </c>
      <c r="E4" s="2" t="s">
        <v>55</v>
      </c>
      <c r="F4" s="2">
        <v>0.026</v>
      </c>
      <c r="H4" s="6" t="s">
        <v>56</v>
      </c>
      <c r="I4" s="2" t="s">
        <v>10</v>
      </c>
      <c r="J4" s="3">
        <f>B10/(0.9*F10*B7)*10</f>
        <v>11.366865586814434</v>
      </c>
      <c r="K4" t="s">
        <v>5</v>
      </c>
    </row>
    <row r="5" spans="1:11" ht="12.75">
      <c r="A5" s="2" t="s">
        <v>57</v>
      </c>
      <c r="B5" s="2" t="s">
        <v>58</v>
      </c>
      <c r="E5" s="2" t="s">
        <v>2</v>
      </c>
      <c r="F5" s="2">
        <v>0.3</v>
      </c>
      <c r="G5" t="s">
        <v>59</v>
      </c>
      <c r="I5" s="2" t="s">
        <v>12</v>
      </c>
      <c r="J5" s="3">
        <f>F16*J4</f>
        <v>10.297332179137925</v>
      </c>
      <c r="K5" t="s">
        <v>5</v>
      </c>
    </row>
    <row r="6" spans="1:7" ht="12.75">
      <c r="A6" s="2" t="s">
        <v>32</v>
      </c>
      <c r="B6" s="2">
        <v>8.5</v>
      </c>
      <c r="C6" t="s">
        <v>17</v>
      </c>
      <c r="E6" s="2" t="s">
        <v>13</v>
      </c>
      <c r="F6" s="2">
        <f>F4*SQRT(B10/F5)</f>
        <v>0.52</v>
      </c>
      <c r="G6" t="s">
        <v>59</v>
      </c>
    </row>
    <row r="7" spans="1:11" ht="12.75">
      <c r="A7" s="2" t="s">
        <v>35</v>
      </c>
      <c r="B7" s="13">
        <f>IF(B5="FeB44k",255,215)</f>
        <v>255</v>
      </c>
      <c r="C7" t="s">
        <v>17</v>
      </c>
      <c r="I7" s="2" t="s">
        <v>60</v>
      </c>
      <c r="J7" s="3">
        <f>F8*F10^2/B15^2</f>
        <v>79.8249585030934</v>
      </c>
      <c r="K7" t="s">
        <v>24</v>
      </c>
    </row>
    <row r="8" spans="4:11" ht="12.75">
      <c r="D8" s="6" t="s">
        <v>61</v>
      </c>
      <c r="E8" s="2" t="s">
        <v>2</v>
      </c>
      <c r="F8" s="2">
        <v>0.3</v>
      </c>
      <c r="G8" t="s">
        <v>59</v>
      </c>
      <c r="I8" s="2" t="s">
        <v>12</v>
      </c>
      <c r="J8" s="3">
        <f>(B10-J7)/(F10-B9)/F15/B7*10</f>
        <v>10.150227433721668</v>
      </c>
      <c r="K8" t="s">
        <v>5</v>
      </c>
    </row>
    <row r="9" spans="1:7" ht="12.75">
      <c r="A9" s="2" t="s">
        <v>8</v>
      </c>
      <c r="B9" s="2">
        <v>0.04</v>
      </c>
      <c r="C9" t="s">
        <v>59</v>
      </c>
      <c r="E9" s="2" t="s">
        <v>6</v>
      </c>
      <c r="F9" s="2">
        <v>0.5</v>
      </c>
      <c r="G9" t="s">
        <v>59</v>
      </c>
    </row>
    <row r="10" spans="1:7" ht="12.75">
      <c r="A10" s="2" t="s">
        <v>23</v>
      </c>
      <c r="B10" s="2">
        <v>120</v>
      </c>
      <c r="C10" t="s">
        <v>24</v>
      </c>
      <c r="E10" s="2" t="s">
        <v>13</v>
      </c>
      <c r="F10" s="2">
        <f>F9-B9</f>
        <v>0.46</v>
      </c>
      <c r="G10" t="s">
        <v>59</v>
      </c>
    </row>
    <row r="11" spans="5:6" ht="12.75">
      <c r="E11" s="2" t="s">
        <v>55</v>
      </c>
      <c r="F11" s="14">
        <f>F10/SQRT(B10/F8)</f>
        <v>0.023</v>
      </c>
    </row>
    <row r="12" spans="5:6" ht="12.75">
      <c r="E12" s="2" t="s">
        <v>62</v>
      </c>
      <c r="F12" s="15">
        <f>B9/F10</f>
        <v>0.08695652173913043</v>
      </c>
    </row>
    <row r="14" spans="1:7" ht="12.75">
      <c r="A14" s="16" t="s">
        <v>30</v>
      </c>
      <c r="B14" s="15">
        <f>15*B6/(15*B6+B7)</f>
        <v>0.3333333333333333</v>
      </c>
      <c r="E14" s="2" t="s">
        <v>30</v>
      </c>
      <c r="F14" s="15">
        <f>B14*F10</f>
        <v>0.15333333333333332</v>
      </c>
      <c r="G14" t="s">
        <v>59</v>
      </c>
    </row>
    <row r="15" spans="1:6" ht="12.75">
      <c r="A15" s="2" t="s">
        <v>63</v>
      </c>
      <c r="B15" s="2">
        <f>IF(B5="FeB44k",0.0282,0.0269)</f>
        <v>0.0282</v>
      </c>
      <c r="E15" s="2" t="s">
        <v>64</v>
      </c>
      <c r="F15" s="15">
        <f>(F14-B9)/(F10-F14)</f>
        <v>0.36956521739130427</v>
      </c>
    </row>
    <row r="16" spans="5:6" ht="12.75">
      <c r="E16" s="2" t="s">
        <v>65</v>
      </c>
      <c r="F16" s="5">
        <f>1/F15*(1-(F11/B15)^2)</f>
        <v>0.9059077984596591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A1:G17"/>
  <sheetViews>
    <sheetView workbookViewId="0" topLeftCell="A1">
      <selection activeCell="A3" sqref="A3"/>
    </sheetView>
  </sheetViews>
  <sheetFormatPr defaultColWidth="9.140625" defaultRowHeight="12.75"/>
  <sheetData>
    <row r="1" ht="12.75">
      <c r="A1" s="1" t="s">
        <v>66</v>
      </c>
    </row>
    <row r="2" ht="12.75">
      <c r="A2" s="1" t="s">
        <v>67</v>
      </c>
    </row>
    <row r="4" spans="1:6" ht="12.75">
      <c r="A4" s="2" t="s">
        <v>53</v>
      </c>
      <c r="B4" s="2">
        <v>25</v>
      </c>
      <c r="C4" t="s">
        <v>17</v>
      </c>
      <c r="D4" s="6" t="s">
        <v>68</v>
      </c>
      <c r="E4" s="2" t="s">
        <v>55</v>
      </c>
      <c r="F4" s="2">
        <v>0.027</v>
      </c>
    </row>
    <row r="5" spans="1:7" ht="12.75">
      <c r="A5" s="2" t="s">
        <v>57</v>
      </c>
      <c r="B5" s="2" t="s">
        <v>58</v>
      </c>
      <c r="E5" s="2" t="s">
        <v>6</v>
      </c>
      <c r="F5" s="2">
        <v>0.24</v>
      </c>
      <c r="G5" t="s">
        <v>59</v>
      </c>
    </row>
    <row r="6" spans="1:7" ht="12.75">
      <c r="A6" s="2" t="s">
        <v>32</v>
      </c>
      <c r="B6" s="2">
        <v>8.5</v>
      </c>
      <c r="C6" t="s">
        <v>17</v>
      </c>
      <c r="E6" s="2" t="s">
        <v>13</v>
      </c>
      <c r="F6" s="5">
        <f>F5-B9</f>
        <v>0.19999999999999998</v>
      </c>
      <c r="G6" t="s">
        <v>59</v>
      </c>
    </row>
    <row r="7" spans="1:7" ht="12.75">
      <c r="A7" s="2" t="s">
        <v>35</v>
      </c>
      <c r="B7" s="13">
        <f>IF(B5="FeB44k",255,215)</f>
        <v>255</v>
      </c>
      <c r="C7" t="s">
        <v>17</v>
      </c>
      <c r="E7" s="2" t="s">
        <v>2</v>
      </c>
      <c r="F7" s="5">
        <f>B10*F4^2/F6^2</f>
        <v>1.366875</v>
      </c>
      <c r="G7" t="s">
        <v>59</v>
      </c>
    </row>
    <row r="9" spans="1:7" ht="12.75">
      <c r="A9" s="2" t="s">
        <v>8</v>
      </c>
      <c r="B9" s="2">
        <v>0.04</v>
      </c>
      <c r="C9" t="s">
        <v>59</v>
      </c>
      <c r="E9" s="2" t="s">
        <v>10</v>
      </c>
      <c r="F9" s="3">
        <f>B10/0.9/F6/B7*10</f>
        <v>16.33986928104575</v>
      </c>
      <c r="G9" t="s">
        <v>5</v>
      </c>
    </row>
    <row r="10" spans="1:3" ht="12.75">
      <c r="A10" s="2" t="s">
        <v>23</v>
      </c>
      <c r="B10" s="2">
        <v>75</v>
      </c>
      <c r="C10" t="s">
        <v>24</v>
      </c>
    </row>
    <row r="11" spans="5:6" ht="12.75">
      <c r="E11" s="2" t="s">
        <v>55</v>
      </c>
      <c r="F11" s="14">
        <v>0.027</v>
      </c>
    </row>
    <row r="12" ht="12.75">
      <c r="F12" s="15"/>
    </row>
    <row r="14" spans="1:7" ht="12.75">
      <c r="A14" s="16" t="s">
        <v>30</v>
      </c>
      <c r="B14" s="15">
        <f>15*B6/(15*B6+B7)</f>
        <v>0.3333333333333333</v>
      </c>
      <c r="E14" s="2" t="s">
        <v>30</v>
      </c>
      <c r="F14" s="15">
        <f>B14*F6</f>
        <v>0.06666666666666665</v>
      </c>
      <c r="G14" t="s">
        <v>59</v>
      </c>
    </row>
    <row r="15" spans="1:6" ht="12.75">
      <c r="A15" s="2" t="s">
        <v>63</v>
      </c>
      <c r="B15" s="2">
        <f>IF(B5="FeB44k",0.0282,0.0269)</f>
        <v>0.0282</v>
      </c>
      <c r="E15" s="2" t="s">
        <v>64</v>
      </c>
      <c r="F15" s="15">
        <f>(F14-B9)/(F6-F14)</f>
        <v>0.19999999999999987</v>
      </c>
    </row>
    <row r="16" spans="5:6" ht="12.75">
      <c r="E16" s="2" t="s">
        <v>65</v>
      </c>
      <c r="F16" s="5">
        <f>1/F15*(1-(F11/B15)^2)</f>
        <v>0.4164780443639651</v>
      </c>
    </row>
    <row r="17" spans="5:7" ht="12.75">
      <c r="E17" s="2" t="s">
        <v>12</v>
      </c>
      <c r="F17" s="3">
        <f>F16*F9</f>
        <v>6.8051968033327634</v>
      </c>
      <c r="G17" t="s">
        <v>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16" sqref="F16"/>
    </sheetView>
  </sheetViews>
  <sheetFormatPr defaultColWidth="9.140625" defaultRowHeight="12.75"/>
  <sheetData>
    <row r="1" ht="12.75">
      <c r="A1" s="1" t="s">
        <v>159</v>
      </c>
    </row>
    <row r="2" ht="12.75">
      <c r="A2" s="1" t="s">
        <v>93</v>
      </c>
    </row>
    <row r="4" spans="1:7" ht="12.75">
      <c r="A4" s="2" t="s">
        <v>2</v>
      </c>
      <c r="B4" s="2">
        <v>30</v>
      </c>
      <c r="C4" t="s">
        <v>3</v>
      </c>
      <c r="E4" s="2" t="s">
        <v>160</v>
      </c>
      <c r="F4" s="15">
        <f>0.0035/(0.0035-B15)*B6</f>
        <v>8.586323213738115</v>
      </c>
      <c r="G4" t="s">
        <v>3</v>
      </c>
    </row>
    <row r="5" spans="1:3" ht="12.75">
      <c r="A5" s="2" t="s">
        <v>6</v>
      </c>
      <c r="B5" s="2">
        <v>50</v>
      </c>
      <c r="C5" t="s">
        <v>3</v>
      </c>
    </row>
    <row r="6" spans="1:3" ht="12.75">
      <c r="A6" s="2" t="s">
        <v>8</v>
      </c>
      <c r="B6" s="2">
        <v>4</v>
      </c>
      <c r="C6" t="s">
        <v>3</v>
      </c>
    </row>
    <row r="7" spans="1:7" ht="12.75">
      <c r="A7" s="2" t="s">
        <v>10</v>
      </c>
      <c r="B7" s="2">
        <v>12.56</v>
      </c>
      <c r="C7" t="s">
        <v>5</v>
      </c>
      <c r="E7" s="2" t="s">
        <v>30</v>
      </c>
      <c r="F7" s="15">
        <f>(B7-B8)*B13/(0.81*B4*B12)</f>
        <v>13.236584436826421</v>
      </c>
      <c r="G7" t="s">
        <v>3</v>
      </c>
    </row>
    <row r="8" spans="1:6" ht="12.75">
      <c r="A8" s="2" t="s">
        <v>12</v>
      </c>
      <c r="B8" s="2">
        <v>3.08</v>
      </c>
      <c r="C8" t="s">
        <v>5</v>
      </c>
      <c r="F8" s="37">
        <f>IF(F7&lt;F4,"non vale","")</f>
      </c>
    </row>
    <row r="9" spans="1:2" ht="12.75">
      <c r="A9" s="2" t="s">
        <v>65</v>
      </c>
      <c r="B9" s="15">
        <f>B8/B7</f>
        <v>0.24522292993630573</v>
      </c>
    </row>
    <row r="10" spans="1:3" ht="12.75">
      <c r="A10" s="2" t="s">
        <v>13</v>
      </c>
      <c r="B10" s="2">
        <f>B5-B6</f>
        <v>46</v>
      </c>
      <c r="C10" t="s">
        <v>3</v>
      </c>
    </row>
    <row r="12" spans="1:6" ht="12.75">
      <c r="A12" s="16" t="s">
        <v>78</v>
      </c>
      <c r="B12" s="2">
        <v>11.02</v>
      </c>
      <c r="C12" t="s">
        <v>17</v>
      </c>
      <c r="E12" s="2" t="s">
        <v>64</v>
      </c>
      <c r="F12" s="2">
        <f>IF(F7&gt;F4,1,(F7-B6)/F7*0.0035/B15)</f>
        <v>1</v>
      </c>
    </row>
    <row r="13" spans="1:3" ht="12.75">
      <c r="A13" s="2" t="s">
        <v>79</v>
      </c>
      <c r="B13" s="2">
        <v>373.9</v>
      </c>
      <c r="C13" t="s">
        <v>17</v>
      </c>
    </row>
    <row r="14" spans="1:3" ht="12.75">
      <c r="A14" s="2" t="s">
        <v>16</v>
      </c>
      <c r="B14" s="2">
        <v>200000</v>
      </c>
      <c r="C14" t="s">
        <v>17</v>
      </c>
    </row>
    <row r="15" spans="1:7" ht="12.75">
      <c r="A15" s="16" t="s">
        <v>80</v>
      </c>
      <c r="B15" s="2">
        <f>B13/B14</f>
        <v>0.0018694999999999999</v>
      </c>
      <c r="E15" s="2" t="s">
        <v>91</v>
      </c>
      <c r="F15" s="3">
        <f>(B7*(B10-0.416*F7)+F12*B8*(0.416*F7-B6))*B13/1000</f>
        <v>191.90011694670918</v>
      </c>
      <c r="G15" t="s">
        <v>24</v>
      </c>
    </row>
    <row r="16" ht="12.75">
      <c r="F16" s="37">
        <f>IF(F7&lt;F4,"non vale","")</f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Capitolo 9 - esempi</dc:title>
  <dc:subject/>
  <dc:creator>Aurelio Ghersi</dc:creator>
  <cp:keywords/>
  <dc:description/>
  <cp:lastModifiedBy>Aurelio Ghersi</cp:lastModifiedBy>
  <dcterms:created xsi:type="dcterms:W3CDTF">2002-02-16T12:18:26Z</dcterms:created>
  <dcterms:modified xsi:type="dcterms:W3CDTF">2005-02-19T08:51:20Z</dcterms:modified>
  <cp:category/>
  <cp:version/>
  <cp:contentType/>
  <cp:contentStatus/>
</cp:coreProperties>
</file>