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piegazioni" sheetId="1" r:id="rId1"/>
    <sheet name="Es 1-2" sheetId="2" r:id="rId2"/>
    <sheet name="Es 3" sheetId="3" r:id="rId3"/>
    <sheet name="Es 4" sheetId="4" r:id="rId4"/>
    <sheet name="Es 5" sheetId="5" r:id="rId5"/>
    <sheet name="Es 6" sheetId="6" r:id="rId6"/>
    <sheet name="Es 7-8" sheetId="7" r:id="rId7"/>
    <sheet name="Es 9" sheetId="8" r:id="rId8"/>
    <sheet name="Es 10" sheetId="9" r:id="rId9"/>
    <sheet name="Es 11" sheetId="10" r:id="rId10"/>
    <sheet name="Es 12" sheetId="11" r:id="rId11"/>
    <sheet name="Es 13" sheetId="12" r:id="rId12"/>
    <sheet name="Grafico 13" sheetId="13" r:id="rId13"/>
    <sheet name="Es 14" sheetId="14" r:id="rId14"/>
    <sheet name="Es 15 +" sheetId="15" r:id="rId15"/>
    <sheet name="Es 15 -" sheetId="16" r:id="rId16"/>
    <sheet name="Es 15" sheetId="17" r:id="rId17"/>
    <sheet name="Grafico 15" sheetId="18" r:id="rId18"/>
    <sheet name="Es 16" sheetId="19" r:id="rId19"/>
    <sheet name="Grafico 16" sheetId="20" r:id="rId20"/>
    <sheet name="Es 17" sheetId="21" r:id="rId21"/>
    <sheet name="Es 18" sheetId="22" r:id="rId22"/>
    <sheet name="Es 19" sheetId="23" r:id="rId23"/>
    <sheet name="Es 20" sheetId="24" r:id="rId24"/>
    <sheet name="Es 21" sheetId="25" r:id="rId25"/>
    <sheet name="Es 22+" sheetId="26" r:id="rId26"/>
    <sheet name="Es 22-" sheetId="27" r:id="rId27"/>
    <sheet name="Es 22" sheetId="28" r:id="rId28"/>
    <sheet name="Grafico 22" sheetId="29" r:id="rId29"/>
    <sheet name="Grafico 22 (2)" sheetId="30" r:id="rId30"/>
    <sheet name="Es 23" sheetId="31" r:id="rId31"/>
    <sheet name="Es 24" sheetId="32" r:id="rId32"/>
    <sheet name="Es 25" sheetId="33" r:id="rId33"/>
    <sheet name="Es 26" sheetId="34" r:id="rId34"/>
    <sheet name="Es 27" sheetId="35" r:id="rId35"/>
    <sheet name="Es 28" sheetId="36" r:id="rId36"/>
    <sheet name="Es 29" sheetId="37" r:id="rId37"/>
    <sheet name="Es 30" sheetId="38" r:id="rId38"/>
    <sheet name="Es 31" sheetId="39" r:id="rId39"/>
    <sheet name="Es 32" sheetId="40" r:id="rId40"/>
    <sheet name="Es 33" sheetId="41" r:id="rId41"/>
  </sheets>
  <definedNames>
    <definedName name="Ac">'Es 13'!$H$16</definedName>
    <definedName name="As">'Es 13'!$B$6</definedName>
    <definedName name="co">'Es 13'!$B$5</definedName>
    <definedName name="d0">'Es 13'!$H$17</definedName>
    <definedName name="dd">'Es 13'!$H$18</definedName>
    <definedName name="Iz0">'Es 13'!$H$20</definedName>
    <definedName name="n">'Es 13'!$B$7</definedName>
    <definedName name="ra">'Es 13'!$B$4</definedName>
    <definedName name="teta">'Es 13'!$H$15</definedName>
    <definedName name="x">'Es 13'!$H$4</definedName>
  </definedNames>
  <calcPr fullCalcOnLoad="1"/>
</workbook>
</file>

<file path=xl/sharedStrings.xml><?xml version="1.0" encoding="utf-8"?>
<sst xmlns="http://schemas.openxmlformats.org/spreadsheetml/2006/main" count="1438" uniqueCount="232">
  <si>
    <t>Esempi 1 - 2</t>
  </si>
  <si>
    <t>Sezione rettangolare nel primo stadio</t>
  </si>
  <si>
    <t>b</t>
  </si>
  <si>
    <t>cm</t>
  </si>
  <si>
    <t>A</t>
  </si>
  <si>
    <t>cm2</t>
  </si>
  <si>
    <t>h</t>
  </si>
  <si>
    <t>cm3</t>
  </si>
  <si>
    <t>c</t>
  </si>
  <si>
    <t>dGinf</t>
  </si>
  <si>
    <t>As</t>
  </si>
  <si>
    <t>dGsup</t>
  </si>
  <si>
    <t>A's</t>
  </si>
  <si>
    <t>d</t>
  </si>
  <si>
    <t>I</t>
  </si>
  <si>
    <t>cm4</t>
  </si>
  <si>
    <t>Es</t>
  </si>
  <si>
    <t>MPa</t>
  </si>
  <si>
    <t>sig c,sup</t>
  </si>
  <si>
    <t>Ec</t>
  </si>
  <si>
    <t>sig c,inf</t>
  </si>
  <si>
    <t>n</t>
  </si>
  <si>
    <t>sig s,sup</t>
  </si>
  <si>
    <t>M</t>
  </si>
  <si>
    <t>kNm</t>
  </si>
  <si>
    <t>sig s,inf</t>
  </si>
  <si>
    <t>fcfk</t>
  </si>
  <si>
    <t>Mfess</t>
  </si>
  <si>
    <t>Esempio 6</t>
  </si>
  <si>
    <t>Sn</t>
  </si>
  <si>
    <t>kN</t>
  </si>
  <si>
    <t>x1</t>
  </si>
  <si>
    <t>x2</t>
  </si>
  <si>
    <t>x3</t>
  </si>
  <si>
    <t>Questo foglio di lavoro è stato utilizzato per risolvere tutti gli esempi proposti</t>
  </si>
  <si>
    <t>N</t>
  </si>
  <si>
    <t>ez</t>
  </si>
  <si>
    <t>ez,cs</t>
  </si>
  <si>
    <t>N/A</t>
  </si>
  <si>
    <t>S</t>
  </si>
  <si>
    <t>Ne/I</t>
  </si>
  <si>
    <t>sc,sup.</t>
  </si>
  <si>
    <t>Ic</t>
  </si>
  <si>
    <t>sc,inf</t>
  </si>
  <si>
    <t>Is</t>
  </si>
  <si>
    <t>sf</t>
  </si>
  <si>
    <t>s'f</t>
  </si>
  <si>
    <t>e1</t>
  </si>
  <si>
    <t>e2</t>
  </si>
  <si>
    <t>Esempio 3</t>
  </si>
  <si>
    <t>Sezione rettangolare nel secondo stadio - tutta tesa</t>
  </si>
  <si>
    <t>in cm</t>
  </si>
  <si>
    <t>in m</t>
  </si>
  <si>
    <t>Sezione rettangolare nel secondo stadio - tutta compressa</t>
  </si>
  <si>
    <t>Esempio 4</t>
  </si>
  <si>
    <t>dC</t>
  </si>
  <si>
    <t>t.noto</t>
  </si>
  <si>
    <t>sig. c</t>
  </si>
  <si>
    <t>N/Sn</t>
  </si>
  <si>
    <t>sig. s</t>
  </si>
  <si>
    <t>Esempio 5</t>
  </si>
  <si>
    <t>Sezione rettangolare nel secondo stadio - parzializzata</t>
  </si>
  <si>
    <t>Sezione rettangolare nel secondo stadio - parzializzata (M&lt;0)</t>
  </si>
  <si>
    <t>invertendo:</t>
  </si>
  <si>
    <t>Esempio 7-8</t>
  </si>
  <si>
    <t>Sezione a croce - tutta tesa</t>
  </si>
  <si>
    <t>Esempio 9</t>
  </si>
  <si>
    <t>Sezione a croce - tesa, parzializzata</t>
  </si>
  <si>
    <t>Esempio 10</t>
  </si>
  <si>
    <t>Sezione a croce - tutta compressa</t>
  </si>
  <si>
    <t>Esempio 11</t>
  </si>
  <si>
    <t>Sezione a croce - parzializzata</t>
  </si>
  <si>
    <t>Esempio 12</t>
  </si>
  <si>
    <t>r</t>
  </si>
  <si>
    <t>x</t>
  </si>
  <si>
    <t>en</t>
  </si>
  <si>
    <t>In</t>
  </si>
  <si>
    <t>Sn en-In</t>
  </si>
  <si>
    <t>armatura</t>
  </si>
  <si>
    <t>calcestruzzo</t>
  </si>
  <si>
    <t>teta</t>
  </si>
  <si>
    <t>Ac</t>
  </si>
  <si>
    <t>d0</t>
  </si>
  <si>
    <t>d1</t>
  </si>
  <si>
    <t>Esempio 13</t>
  </si>
  <si>
    <t>Sezione circolare</t>
  </si>
  <si>
    <t>Sn c+s</t>
  </si>
  <si>
    <t>sig c</t>
  </si>
  <si>
    <t>sig s</t>
  </si>
  <si>
    <t>Sezione a croce parzializzata, studiata come sezione generica</t>
  </si>
  <si>
    <t>A's=As</t>
  </si>
  <si>
    <t>h'</t>
  </si>
  <si>
    <t>h''</t>
  </si>
  <si>
    <t>Sn,s</t>
  </si>
  <si>
    <t>Sn,c</t>
  </si>
  <si>
    <t>In,s</t>
  </si>
  <si>
    <t>In,c</t>
  </si>
  <si>
    <t>yO</t>
  </si>
  <si>
    <t>Esempio 14</t>
  </si>
  <si>
    <t>Ssup</t>
  </si>
  <si>
    <t>ex</t>
  </si>
  <si>
    <t>ex,s</t>
  </si>
  <si>
    <r>
      <t>s</t>
    </r>
    <r>
      <rPr>
        <sz val="10"/>
        <rFont val="Arial"/>
        <family val="0"/>
      </rPr>
      <t>f</t>
    </r>
  </si>
  <si>
    <r>
      <t>s</t>
    </r>
    <r>
      <rPr>
        <sz val="10"/>
        <rFont val="Arial"/>
        <family val="0"/>
      </rPr>
      <t>'f</t>
    </r>
  </si>
  <si>
    <t>ex,cs</t>
  </si>
  <si>
    <t>Ix0</t>
  </si>
  <si>
    <t>ex+yO-x</t>
  </si>
  <si>
    <t>campo 1</t>
  </si>
  <si>
    <r>
      <t>s</t>
    </r>
    <r>
      <rPr>
        <sz val="10"/>
        <rFont val="Arial"/>
        <family val="0"/>
      </rPr>
      <t>c amm</t>
    </r>
  </si>
  <si>
    <r>
      <t>s</t>
    </r>
    <r>
      <rPr>
        <sz val="10"/>
        <rFont val="Arial"/>
        <family val="0"/>
      </rPr>
      <t>s amm</t>
    </r>
  </si>
  <si>
    <r>
      <t>s</t>
    </r>
    <r>
      <rPr>
        <sz val="10"/>
        <rFont val="Arial"/>
        <family val="0"/>
      </rPr>
      <t>s,sup</t>
    </r>
  </si>
  <si>
    <t>kPa</t>
  </si>
  <si>
    <r>
      <t>s</t>
    </r>
    <r>
      <rPr>
        <sz val="10"/>
        <rFont val="Arial"/>
        <family val="0"/>
      </rPr>
      <t>'s</t>
    </r>
  </si>
  <si>
    <t>campo 2</t>
  </si>
  <si>
    <r>
      <t>s</t>
    </r>
    <r>
      <rPr>
        <sz val="10"/>
        <rFont val="Arial"/>
        <family val="0"/>
      </rPr>
      <t>c,sup</t>
    </r>
  </si>
  <si>
    <r>
      <t>d</t>
    </r>
    <r>
      <rPr>
        <sz val="10"/>
        <rFont val="Symbol"/>
        <family val="1"/>
      </rPr>
      <t>s</t>
    </r>
    <r>
      <rPr>
        <sz val="10"/>
        <rFont val="Arial"/>
        <family val="0"/>
      </rPr>
      <t>c/dy</t>
    </r>
  </si>
  <si>
    <r>
      <t>d</t>
    </r>
    <r>
      <rPr>
        <sz val="10"/>
        <rFont val="Symbol"/>
        <family val="1"/>
      </rPr>
      <t>s</t>
    </r>
    <r>
      <rPr>
        <sz val="10"/>
        <rFont val="Arial"/>
        <family val="0"/>
      </rPr>
      <t>s/dy</t>
    </r>
  </si>
  <si>
    <t>campo 3</t>
  </si>
  <si>
    <r>
      <t>s</t>
    </r>
    <r>
      <rPr>
        <sz val="10"/>
        <rFont val="Arial"/>
        <family val="0"/>
      </rPr>
      <t>s,inf</t>
    </r>
  </si>
  <si>
    <t>Dominio M-N per sezione rettangolare - armatura dissimmetrica</t>
  </si>
  <si>
    <t>campo 4</t>
  </si>
  <si>
    <r>
      <t>s</t>
    </r>
    <r>
      <rPr>
        <sz val="10"/>
        <rFont val="Arial"/>
        <family val="0"/>
      </rPr>
      <t>c,inf</t>
    </r>
  </si>
  <si>
    <r>
      <t>s</t>
    </r>
    <r>
      <rPr>
        <sz val="10"/>
        <rFont val="Arial"/>
        <family val="0"/>
      </rPr>
      <t>s</t>
    </r>
  </si>
  <si>
    <t>Esempio 15</t>
  </si>
  <si>
    <t>Dominio M-N per sezione rettangolare - armatura dissimmetrica (M+)</t>
  </si>
  <si>
    <t>Dominio M-N per sezione rettangolare - armatura dissimmetrica (M-)</t>
  </si>
  <si>
    <t>M+</t>
  </si>
  <si>
    <t>M-</t>
  </si>
  <si>
    <t>dOG</t>
  </si>
  <si>
    <t>Dominio M-N per sezione rettangolare - armatura simmetrica</t>
  </si>
  <si>
    <t>Esempio 16</t>
  </si>
  <si>
    <t>Nc</t>
  </si>
  <si>
    <t>Mc</t>
  </si>
  <si>
    <t>Ns</t>
  </si>
  <si>
    <t>Ms</t>
  </si>
  <si>
    <t>Esempio 17</t>
  </si>
  <si>
    <t>Rck</t>
  </si>
  <si>
    <r>
      <t>g</t>
    </r>
    <r>
      <rPr>
        <sz val="10"/>
        <rFont val="Arial"/>
        <family val="0"/>
      </rPr>
      <t>c</t>
    </r>
  </si>
  <si>
    <r>
      <t>a</t>
    </r>
    <r>
      <rPr>
        <sz val="10"/>
        <rFont val="Arial"/>
        <family val="0"/>
      </rPr>
      <t xml:space="preserve"> fcd</t>
    </r>
  </si>
  <si>
    <t>FeB44k</t>
  </si>
  <si>
    <t>fyd</t>
  </si>
  <si>
    <r>
      <t>g</t>
    </r>
    <r>
      <rPr>
        <sz val="10"/>
        <rFont val="Arial"/>
        <family val="0"/>
      </rPr>
      <t>s</t>
    </r>
  </si>
  <si>
    <t>fyk</t>
  </si>
  <si>
    <r>
      <t>e</t>
    </r>
    <r>
      <rPr>
        <sz val="10"/>
        <rFont val="Arial"/>
        <family val="0"/>
      </rPr>
      <t>s</t>
    </r>
  </si>
  <si>
    <r>
      <t>e</t>
    </r>
    <r>
      <rPr>
        <sz val="10"/>
        <rFont val="Arial"/>
        <family val="0"/>
      </rPr>
      <t>'s</t>
    </r>
  </si>
  <si>
    <r>
      <t>e</t>
    </r>
    <r>
      <rPr>
        <sz val="10"/>
        <rFont val="Arial"/>
        <family val="0"/>
      </rPr>
      <t>cu</t>
    </r>
  </si>
  <si>
    <r>
      <t>e</t>
    </r>
    <r>
      <rPr>
        <sz val="10"/>
        <rFont val="Arial"/>
        <family val="0"/>
      </rPr>
      <t>yd</t>
    </r>
  </si>
  <si>
    <t>N's</t>
  </si>
  <si>
    <t>DN</t>
  </si>
  <si>
    <t>k</t>
  </si>
  <si>
    <t>Sezione rettangolare nel terzo stadio (N di trazione)</t>
  </si>
  <si>
    <t>Sezione rettangolare nel terzo stadio (N di compressione, sezione parzializzata)</t>
  </si>
  <si>
    <t>Esempio 18</t>
  </si>
  <si>
    <t>Esempio 19</t>
  </si>
  <si>
    <t>Sezione rettangolare nel terzo stadio (N di compressione, sezione tutta compressa)</t>
  </si>
  <si>
    <r>
      <t>h</t>
    </r>
    <r>
      <rPr>
        <sz val="10"/>
        <rFont val="Arial"/>
        <family val="0"/>
      </rPr>
      <t>min</t>
    </r>
  </si>
  <si>
    <r>
      <t>e</t>
    </r>
    <r>
      <rPr>
        <sz val="10"/>
        <rFont val="Arial"/>
        <family val="0"/>
      </rPr>
      <t>c1</t>
    </r>
  </si>
  <si>
    <t>Esempio 20</t>
  </si>
  <si>
    <t>Sezione circolare nel terzo stadio (N di compressione, sezione tutta compressa)</t>
  </si>
  <si>
    <t>Sezione circolare nel terzo stadio (N di compressione, sezione parzializzata)</t>
  </si>
  <si>
    <t>MSd</t>
  </si>
  <si>
    <t>NSd</t>
  </si>
  <si>
    <t>Asi</t>
  </si>
  <si>
    <t>ys1</t>
  </si>
  <si>
    <t>ys2-3</t>
  </si>
  <si>
    <t>ys4-5</t>
  </si>
  <si>
    <t>ys6-7</t>
  </si>
  <si>
    <t>ys8</t>
  </si>
  <si>
    <t>q</t>
  </si>
  <si>
    <r>
      <t>e</t>
    </r>
    <r>
      <rPr>
        <sz val="9"/>
        <rFont val="Arial"/>
        <family val="0"/>
      </rPr>
      <t xml:space="preserve"> / </t>
    </r>
    <r>
      <rPr>
        <sz val="9"/>
        <rFont val="Symbol"/>
        <family val="1"/>
      </rPr>
      <t>s</t>
    </r>
    <r>
      <rPr>
        <sz val="9"/>
        <rFont val="Arial"/>
        <family val="0"/>
      </rPr>
      <t xml:space="preserve"> / Ns1</t>
    </r>
  </si>
  <si>
    <r>
      <t>e</t>
    </r>
    <r>
      <rPr>
        <sz val="9"/>
        <rFont val="Arial"/>
        <family val="0"/>
      </rPr>
      <t xml:space="preserve"> / </t>
    </r>
    <r>
      <rPr>
        <sz val="9"/>
        <rFont val="Symbol"/>
        <family val="1"/>
      </rPr>
      <t>s</t>
    </r>
    <r>
      <rPr>
        <sz val="9"/>
        <rFont val="Arial"/>
        <family val="0"/>
      </rPr>
      <t xml:space="preserve"> / Ns2</t>
    </r>
  </si>
  <si>
    <r>
      <t>e</t>
    </r>
    <r>
      <rPr>
        <sz val="9"/>
        <rFont val="Arial"/>
        <family val="0"/>
      </rPr>
      <t xml:space="preserve"> / </t>
    </r>
    <r>
      <rPr>
        <sz val="9"/>
        <rFont val="Symbol"/>
        <family val="1"/>
      </rPr>
      <t>s</t>
    </r>
    <r>
      <rPr>
        <sz val="9"/>
        <rFont val="Arial"/>
        <family val="0"/>
      </rPr>
      <t xml:space="preserve"> / Ns4</t>
    </r>
  </si>
  <si>
    <r>
      <t>e</t>
    </r>
    <r>
      <rPr>
        <sz val="9"/>
        <rFont val="Arial"/>
        <family val="0"/>
      </rPr>
      <t xml:space="preserve"> / </t>
    </r>
    <r>
      <rPr>
        <sz val="9"/>
        <rFont val="Symbol"/>
        <family val="1"/>
      </rPr>
      <t>s</t>
    </r>
    <r>
      <rPr>
        <sz val="9"/>
        <rFont val="Arial"/>
        <family val="0"/>
      </rPr>
      <t xml:space="preserve"> / Ns6</t>
    </r>
  </si>
  <si>
    <r>
      <t>e</t>
    </r>
    <r>
      <rPr>
        <sz val="9"/>
        <rFont val="Arial"/>
        <family val="0"/>
      </rPr>
      <t xml:space="preserve"> / </t>
    </r>
    <r>
      <rPr>
        <sz val="9"/>
        <rFont val="Symbol"/>
        <family val="1"/>
      </rPr>
      <t>s</t>
    </r>
    <r>
      <rPr>
        <sz val="9"/>
        <rFont val="Arial"/>
        <family val="0"/>
      </rPr>
      <t xml:space="preserve"> / Ns8</t>
    </r>
  </si>
  <si>
    <t>MRd</t>
  </si>
  <si>
    <t>Esempio 21</t>
  </si>
  <si>
    <t>Esempio 22</t>
  </si>
  <si>
    <t>C's+</t>
  </si>
  <si>
    <t>C's-</t>
  </si>
  <si>
    <t>C'</t>
  </si>
  <si>
    <r>
      <t>A - C'</t>
    </r>
    <r>
      <rPr>
        <sz val="8"/>
        <rFont val="Arial"/>
        <family val="2"/>
      </rPr>
      <t>s+</t>
    </r>
  </si>
  <si>
    <r>
      <t>C'</t>
    </r>
    <r>
      <rPr>
        <sz val="8"/>
        <rFont val="Arial"/>
        <family val="2"/>
      </rPr>
      <t>s+</t>
    </r>
    <r>
      <rPr>
        <sz val="10"/>
        <rFont val="Arial"/>
        <family val="0"/>
      </rPr>
      <t xml:space="preserve"> - C'</t>
    </r>
    <r>
      <rPr>
        <sz val="8"/>
        <rFont val="Arial"/>
        <family val="2"/>
      </rPr>
      <t>s-</t>
    </r>
  </si>
  <si>
    <r>
      <t>C'</t>
    </r>
    <r>
      <rPr>
        <sz val="8"/>
        <rFont val="Arial"/>
        <family val="2"/>
      </rPr>
      <t>s-</t>
    </r>
    <r>
      <rPr>
        <sz val="10"/>
        <rFont val="Arial"/>
        <family val="0"/>
      </rPr>
      <t xml:space="preserve"> - C'</t>
    </r>
  </si>
  <si>
    <t>C' - D</t>
  </si>
  <si>
    <t>D-E</t>
  </si>
  <si>
    <r>
      <t>h</t>
    </r>
    <r>
      <rPr>
        <sz val="8"/>
        <rFont val="Arial"/>
        <family val="2"/>
      </rPr>
      <t>min</t>
    </r>
  </si>
  <si>
    <t>Sezione rettangolare nel terzo stadio (con formule approssimate)</t>
  </si>
  <si>
    <t>Nc,Rd</t>
  </si>
  <si>
    <t>Mc,Rd</t>
  </si>
  <si>
    <t>m</t>
  </si>
  <si>
    <t>tensoflessione</t>
  </si>
  <si>
    <t>pressoflessione 1</t>
  </si>
  <si>
    <t>pressoflessione 2</t>
  </si>
  <si>
    <t>MSd,red</t>
  </si>
  <si>
    <t>Esempio 25</t>
  </si>
  <si>
    <t>Sezione rettangolare nel terzo stadio (progetto della sezione)</t>
  </si>
  <si>
    <t>?</t>
  </si>
  <si>
    <t>r''</t>
  </si>
  <si>
    <t>Nc,max</t>
  </si>
  <si>
    <r>
      <t>n</t>
    </r>
    <r>
      <rPr>
        <sz val="10"/>
        <rFont val="Arial"/>
        <family val="2"/>
      </rPr>
      <t>M</t>
    </r>
  </si>
  <si>
    <t>Sezione circolare nel terzo stadio (con formule approssimate)</t>
  </si>
  <si>
    <t>Esempio 24</t>
  </si>
  <si>
    <t>Esempio 23</t>
  </si>
  <si>
    <t>D</t>
  </si>
  <si>
    <t>As,tot</t>
  </si>
  <si>
    <r>
      <t>w</t>
    </r>
    <r>
      <rPr>
        <sz val="10"/>
        <rFont val="Arial"/>
        <family val="2"/>
      </rPr>
      <t>tot</t>
    </r>
  </si>
  <si>
    <t>tensoflessione e</t>
  </si>
  <si>
    <t>Ns,max</t>
  </si>
  <si>
    <t>Mc,max</t>
  </si>
  <si>
    <t>Ms,max</t>
  </si>
  <si>
    <t>M/MR</t>
  </si>
  <si>
    <t>N/NR</t>
  </si>
  <si>
    <t>Esempio 27</t>
  </si>
  <si>
    <t>Sezione rettangolare nel terzo stadio (progetto delle armature)</t>
  </si>
  <si>
    <t>Ms,Sd</t>
  </si>
  <si>
    <t>zs,eq</t>
  </si>
  <si>
    <t>Esempio 28</t>
  </si>
  <si>
    <t>Sezione circolare nel terzo stadio (progetto delle armature)</t>
  </si>
  <si>
    <t>Esempio 29</t>
  </si>
  <si>
    <t>Esempio 30</t>
  </si>
  <si>
    <t>Esempio 31</t>
  </si>
  <si>
    <t>Sezione circolare nel terzo stadio (progetto della sezione)</t>
  </si>
  <si>
    <t>Esempio 32</t>
  </si>
  <si>
    <t>Esempio 33</t>
  </si>
  <si>
    <t>Sezione rettangolare nel terzo stadio (con Mx e My)</t>
  </si>
  <si>
    <t>Mx</t>
  </si>
  <si>
    <t>Asx</t>
  </si>
  <si>
    <t>Asy</t>
  </si>
  <si>
    <t>y</t>
  </si>
  <si>
    <t>My</t>
  </si>
  <si>
    <t>Mmax,N</t>
  </si>
  <si>
    <t>nel capitolo relativo alla presso e tensoflessione (versione 2005)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</si>
</sst>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0"/>
    </font>
    <font>
      <sz val="10"/>
      <name val="Symbol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Symbol"/>
      <family val="1"/>
    </font>
    <font>
      <sz val="16"/>
      <name val="Arial"/>
      <family val="2"/>
    </font>
    <font>
      <sz val="9"/>
      <name val="Symbol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chartsheet" Target="chartsheets/sheet2.xml" /><Relationship Id="rId19" Type="http://schemas.openxmlformats.org/officeDocument/2006/relationships/worksheet" Target="worksheets/sheet17.xml" /><Relationship Id="rId20" Type="http://schemas.openxmlformats.org/officeDocument/2006/relationships/chartsheet" Target="chartsheets/sheet3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worksheet" Target="worksheets/sheet24.xml" /><Relationship Id="rId28" Type="http://schemas.openxmlformats.org/officeDocument/2006/relationships/worksheet" Target="worksheets/sheet25.xml" /><Relationship Id="rId29" Type="http://schemas.openxmlformats.org/officeDocument/2006/relationships/chartsheet" Target="chartsheets/sheet4.xml" /><Relationship Id="rId30" Type="http://schemas.openxmlformats.org/officeDocument/2006/relationships/chartsheet" Target="chartsheets/sheet5.xml" /><Relationship Id="rId31" Type="http://schemas.openxmlformats.org/officeDocument/2006/relationships/worksheet" Target="worksheets/sheet26.xml" /><Relationship Id="rId32" Type="http://schemas.openxmlformats.org/officeDocument/2006/relationships/worksheet" Target="worksheets/sheet27.xml" /><Relationship Id="rId33" Type="http://schemas.openxmlformats.org/officeDocument/2006/relationships/worksheet" Target="worksheets/sheet28.xml" /><Relationship Id="rId34" Type="http://schemas.openxmlformats.org/officeDocument/2006/relationships/worksheet" Target="worksheets/sheet29.xml" /><Relationship Id="rId35" Type="http://schemas.openxmlformats.org/officeDocument/2006/relationships/worksheet" Target="worksheets/sheet30.xml" /><Relationship Id="rId36" Type="http://schemas.openxmlformats.org/officeDocument/2006/relationships/worksheet" Target="worksheets/sheet31.xml" /><Relationship Id="rId37" Type="http://schemas.openxmlformats.org/officeDocument/2006/relationships/worksheet" Target="worksheets/sheet32.xml" /><Relationship Id="rId38" Type="http://schemas.openxmlformats.org/officeDocument/2006/relationships/worksheet" Target="worksheets/sheet33.xml" /><Relationship Id="rId39" Type="http://schemas.openxmlformats.org/officeDocument/2006/relationships/worksheet" Target="worksheets/sheet34.xml" /><Relationship Id="rId40" Type="http://schemas.openxmlformats.org/officeDocument/2006/relationships/worksheet" Target="worksheets/sheet35.xml" /><Relationship Id="rId41" Type="http://schemas.openxmlformats.org/officeDocument/2006/relationships/worksheet" Target="worksheets/sheet36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Sn en - 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13'!$J$6:$J$19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28</c:v>
                </c:pt>
                <c:pt idx="13">
                  <c:v>30</c:v>
                </c:pt>
              </c:numCache>
            </c:numRef>
          </c:xVal>
          <c:yVal>
            <c:numRef>
              <c:f>'Es 13'!$K$6:$K$19</c:f>
              <c:numCache>
                <c:ptCount val="14"/>
                <c:pt idx="0">
                  <c:v>-27812.4</c:v>
                </c:pt>
                <c:pt idx="1">
                  <c:v>-25727.478942512644</c:v>
                </c:pt>
                <c:pt idx="2">
                  <c:v>-24039.81869311646</c:v>
                </c:pt>
                <c:pt idx="3">
                  <c:v>-22751.317001552496</c:v>
                </c:pt>
                <c:pt idx="4">
                  <c:v>-21745.726605825686</c:v>
                </c:pt>
                <c:pt idx="5">
                  <c:v>-20843.179102095513</c:v>
                </c:pt>
                <c:pt idx="6">
                  <c:v>-19825.813149172565</c:v>
                </c:pt>
                <c:pt idx="7">
                  <c:v>-18455.196065237542</c:v>
                </c:pt>
                <c:pt idx="8">
                  <c:v>-16486.45265308991</c:v>
                </c:pt>
                <c:pt idx="9">
                  <c:v>-9820.54695718085</c:v>
                </c:pt>
                <c:pt idx="10">
                  <c:v>-4719.630578585944</c:v>
                </c:pt>
                <c:pt idx="11">
                  <c:v>1754.8119232335011</c:v>
                </c:pt>
                <c:pt idx="12">
                  <c:v>18936.28512492997</c:v>
                </c:pt>
                <c:pt idx="13">
                  <c:v>29308.06921319751</c:v>
                </c:pt>
              </c:numCache>
            </c:numRef>
          </c:yVal>
          <c:smooth val="0"/>
        </c:ser>
        <c:axId val="55775529"/>
        <c:axId val="32217714"/>
      </c:scatterChart>
      <c:valAx>
        <c:axId val="5577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7714"/>
        <c:crosses val="autoZero"/>
        <c:crossBetween val="midCat"/>
        <c:dispUnits/>
      </c:valAx>
      <c:valAx>
        <c:axId val="32217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755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('Es 15'!$A$5,'Es 15'!$A$6,'Es 15'!$A$11,'Es 15'!$A$31,'Es 15'!$A$32,'Es 15'!$A$33)</c:f>
              <c:numCache>
                <c:ptCount val="6"/>
                <c:pt idx="0">
                  <c:v>408</c:v>
                </c:pt>
                <c:pt idx="1">
                  <c:v>265.92857142857144</c:v>
                </c:pt>
                <c:pt idx="2">
                  <c:v>-43.10714285714285</c:v>
                </c:pt>
                <c:pt idx="3">
                  <c:v>-844.9</c:v>
                </c:pt>
                <c:pt idx="4">
                  <c:v>-1213.8000000000002</c:v>
                </c:pt>
                <c:pt idx="5">
                  <c:v>-1213.8000000000002</c:v>
                </c:pt>
              </c:numCache>
            </c:numRef>
          </c:xVal>
          <c:yVal>
            <c:numRef>
              <c:f>('Es 15'!$B$5,'Es 15'!$B$6,'Es 15'!$B$11,'Es 15'!$B$31,'Es 15'!$B$32,'Es 15'!$B$33)</c:f>
              <c:numCache>
                <c:ptCount val="6"/>
                <c:pt idx="0">
                  <c:v>26.520000000000007</c:v>
                </c:pt>
                <c:pt idx="1">
                  <c:v>63.45857142857143</c:v>
                </c:pt>
                <c:pt idx="2">
                  <c:v>138.51896825396824</c:v>
                </c:pt>
                <c:pt idx="3">
                  <c:v>92.854</c:v>
                </c:pt>
                <c:pt idx="4">
                  <c:v>48.82582026768641</c:v>
                </c:pt>
                <c:pt idx="5">
                  <c:v>-9.282000000000002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('Es 15'!$D$6,'Es 15'!$D$11,'Es 15'!$D$31,'Es 15'!$D$32)</c:f>
              <c:numCache>
                <c:ptCount val="4"/>
                <c:pt idx="0">
                  <c:v>171.21428571428572</c:v>
                </c:pt>
                <c:pt idx="1">
                  <c:v>-185.17857142857142</c:v>
                </c:pt>
                <c:pt idx="2">
                  <c:v>-889.1</c:v>
                </c:pt>
                <c:pt idx="3">
                  <c:v>-1213.8</c:v>
                </c:pt>
              </c:numCache>
            </c:numRef>
          </c:xVal>
          <c:yVal>
            <c:numRef>
              <c:f>('Es 15'!$E$6,'Es 15'!$E$11,'Es 15'!$E$31,'Es 15'!$E$32)</c:f>
              <c:numCache>
                <c:ptCount val="4"/>
                <c:pt idx="0">
                  <c:v>-35.044285714285714</c:v>
                </c:pt>
                <c:pt idx="1">
                  <c:v>-122.41753968253967</c:v>
                </c:pt>
                <c:pt idx="2">
                  <c:v>-106.114</c:v>
                </c:pt>
                <c:pt idx="3">
                  <c:v>-70.42966599597585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'Es 15'!$A$36</c:f>
              <c:numCache>
                <c:ptCount val="1"/>
                <c:pt idx="0">
                  <c:v>-1734</c:v>
                </c:pt>
              </c:numCache>
            </c:numRef>
          </c:xVal>
          <c:yVal>
            <c:numRef>
              <c:f>'Es 15'!$B$36</c:f>
              <c:numCache>
                <c:ptCount val="1"/>
                <c:pt idx="0">
                  <c:v>-13.26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15'!$A$5:$A$33</c:f>
              <c:numCache>
                <c:ptCount val="29"/>
                <c:pt idx="0">
                  <c:v>408</c:v>
                </c:pt>
                <c:pt idx="1">
                  <c:v>265.92857142857144</c:v>
                </c:pt>
                <c:pt idx="2">
                  <c:v>238.73961038961036</c:v>
                </c:pt>
                <c:pt idx="3">
                  <c:v>189.9142857142857</c:v>
                </c:pt>
                <c:pt idx="4">
                  <c:v>124.44560439560438</c:v>
                </c:pt>
                <c:pt idx="5">
                  <c:v>45.899999999999984</c:v>
                </c:pt>
                <c:pt idx="6">
                  <c:v>-43.10714285714285</c:v>
                </c:pt>
                <c:pt idx="7">
                  <c:v>-65.3370043564031</c:v>
                </c:pt>
                <c:pt idx="8">
                  <c:v>-88.19502045687004</c:v>
                </c:pt>
                <c:pt idx="9">
                  <c:v>-111.75358072225174</c:v>
                </c:pt>
                <c:pt idx="10">
                  <c:v>-136.09664212076586</c:v>
                </c:pt>
                <c:pt idx="11">
                  <c:v>-161.32213566634704</c:v>
                </c:pt>
                <c:pt idx="12">
                  <c:v>-187.54499999999996</c:v>
                </c:pt>
                <c:pt idx="13">
                  <c:v>-214.90104110018825</c:v>
                </c:pt>
                <c:pt idx="14">
                  <c:v>-243.55189307624892</c:v>
                </c:pt>
                <c:pt idx="15">
                  <c:v>-273.69146480331267</c:v>
                </c:pt>
                <c:pt idx="16">
                  <c:v>-305.5544188861986</c:v>
                </c:pt>
                <c:pt idx="17">
                  <c:v>-339.42747188857663</c:v>
                </c:pt>
                <c:pt idx="18">
                  <c:v>-375.6646753246754</c:v>
                </c:pt>
                <c:pt idx="19">
                  <c:v>-414.70841549295767</c:v>
                </c:pt>
                <c:pt idx="20">
                  <c:v>-457.118795217658</c:v>
                </c:pt>
                <c:pt idx="21">
                  <c:v>-503.615578817734</c:v>
                </c:pt>
                <c:pt idx="22">
                  <c:v>-555.1394483734088</c:v>
                </c:pt>
                <c:pt idx="23">
                  <c:v>-612.9438060130218</c:v>
                </c:pt>
                <c:pt idx="24">
                  <c:v>-678.7365037593985</c:v>
                </c:pt>
                <c:pt idx="25">
                  <c:v>-754.9063378502527</c:v>
                </c:pt>
                <c:pt idx="26">
                  <c:v>-844.9</c:v>
                </c:pt>
                <c:pt idx="27">
                  <c:v>-1213.8000000000002</c:v>
                </c:pt>
                <c:pt idx="28">
                  <c:v>-1213.8000000000002</c:v>
                </c:pt>
              </c:numCache>
            </c:numRef>
          </c:xVal>
          <c:yVal>
            <c:numRef>
              <c:f>'Es 15'!$B$5:$B$33</c:f>
              <c:numCache>
                <c:ptCount val="29"/>
                <c:pt idx="0">
                  <c:v>26.520000000000007</c:v>
                </c:pt>
                <c:pt idx="1">
                  <c:v>63.45857142857143</c:v>
                </c:pt>
                <c:pt idx="2">
                  <c:v>70.82667650531288</c:v>
                </c:pt>
                <c:pt idx="3">
                  <c:v>83.64539682539683</c:v>
                </c:pt>
                <c:pt idx="4">
                  <c:v>99.93995350803044</c:v>
                </c:pt>
                <c:pt idx="5">
                  <c:v>118.49</c:v>
                </c:pt>
                <c:pt idx="6">
                  <c:v>138.51896825396824</c:v>
                </c:pt>
                <c:pt idx="7">
                  <c:v>136.7119350061302</c:v>
                </c:pt>
                <c:pt idx="8">
                  <c:v>134.9718065770383</c:v>
                </c:pt>
                <c:pt idx="9">
                  <c:v>133.30126987199102</c:v>
                </c:pt>
                <c:pt idx="10">
                  <c:v>131.70260638598305</c:v>
                </c:pt>
                <c:pt idx="11">
                  <c:v>130.17742695470605</c:v>
                </c:pt>
                <c:pt idx="12">
                  <c:v>128.7262882352941</c:v>
                </c:pt>
                <c:pt idx="13">
                  <c:v>127.3481370087275</c:v>
                </c:pt>
                <c:pt idx="14">
                  <c:v>126.03950138345978</c:v>
                </c:pt>
                <c:pt idx="15">
                  <c:v>124.79330576192811</c:v>
                </c:pt>
                <c:pt idx="16">
                  <c:v>123.59711932121313</c:v>
                </c:pt>
                <c:pt idx="17">
                  <c:v>122.43053906712956</c:v>
                </c:pt>
                <c:pt idx="18">
                  <c:v>121.26122880755608</c:v>
                </c:pt>
                <c:pt idx="19">
                  <c:v>120.03883135290616</c:v>
                </c:pt>
                <c:pt idx="20">
                  <c:v>118.68544355446909</c:v>
                </c:pt>
                <c:pt idx="21">
                  <c:v>117.08040126550024</c:v>
                </c:pt>
                <c:pt idx="22">
                  <c:v>115.03538254512861</c:v>
                </c:pt>
                <c:pt idx="23">
                  <c:v>112.25250984025102</c:v>
                </c:pt>
                <c:pt idx="24">
                  <c:v>108.25149036186957</c:v>
                </c:pt>
                <c:pt idx="25">
                  <c:v>102.23791819600412</c:v>
                </c:pt>
                <c:pt idx="26">
                  <c:v>92.854</c:v>
                </c:pt>
                <c:pt idx="27">
                  <c:v>48.82582026768641</c:v>
                </c:pt>
                <c:pt idx="28">
                  <c:v>-9.282000000000002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15'!$D$5:$D$33</c:f>
              <c:numCache>
                <c:ptCount val="29"/>
                <c:pt idx="0">
                  <c:v>408</c:v>
                </c:pt>
                <c:pt idx="1">
                  <c:v>171.21428571428572</c:v>
                </c:pt>
                <c:pt idx="2">
                  <c:v>134.55389610389608</c:v>
                </c:pt>
                <c:pt idx="3">
                  <c:v>76.25714285714287</c:v>
                </c:pt>
                <c:pt idx="4">
                  <c:v>1.3170329670329437</c:v>
                </c:pt>
                <c:pt idx="5">
                  <c:v>-86.70000000000002</c:v>
                </c:pt>
                <c:pt idx="6">
                  <c:v>-185.17857142857142</c:v>
                </c:pt>
                <c:pt idx="7">
                  <c:v>-202.51486149926023</c:v>
                </c:pt>
                <c:pt idx="8">
                  <c:v>-220.47930617115577</c:v>
                </c:pt>
                <c:pt idx="9">
                  <c:v>-239.14429500796604</c:v>
                </c:pt>
                <c:pt idx="10">
                  <c:v>-258.59378497790874</c:v>
                </c:pt>
                <c:pt idx="11">
                  <c:v>-278.9257070949185</c:v>
                </c:pt>
                <c:pt idx="12">
                  <c:v>-300.255</c:v>
                </c:pt>
                <c:pt idx="13">
                  <c:v>-322.71746967161687</c:v>
                </c:pt>
                <c:pt idx="14">
                  <c:v>-346.47475021910606</c:v>
                </c:pt>
                <c:pt idx="15">
                  <c:v>-371.7207505175984</c:v>
                </c:pt>
                <c:pt idx="16">
                  <c:v>-398.6901331719129</c:v>
                </c:pt>
                <c:pt idx="17">
                  <c:v>-427.6696147457195</c:v>
                </c:pt>
                <c:pt idx="18">
                  <c:v>-459.0132467532468</c:v>
                </c:pt>
                <c:pt idx="19">
                  <c:v>-493.1634154929577</c:v>
                </c:pt>
                <c:pt idx="20">
                  <c:v>-530.6802237890865</c:v>
                </c:pt>
                <c:pt idx="21">
                  <c:v>-572.2834359605912</c:v>
                </c:pt>
                <c:pt idx="22">
                  <c:v>-618.9137340876945</c:v>
                </c:pt>
                <c:pt idx="23">
                  <c:v>-671.8245202987362</c:v>
                </c:pt>
                <c:pt idx="24">
                  <c:v>-732.7236466165414</c:v>
                </c:pt>
                <c:pt idx="25">
                  <c:v>-803.9999092788241</c:v>
                </c:pt>
                <c:pt idx="26">
                  <c:v>-889.1</c:v>
                </c:pt>
                <c:pt idx="27">
                  <c:v>-1213.8</c:v>
                </c:pt>
                <c:pt idx="28">
                  <c:v>-1213.8</c:v>
                </c:pt>
              </c:numCache>
            </c:numRef>
          </c:xVal>
          <c:yVal>
            <c:numRef>
              <c:f>'Es 15'!$E$5:$E$33</c:f>
              <c:numCache>
                <c:ptCount val="29"/>
                <c:pt idx="0">
                  <c:v>26.519999999999992</c:v>
                </c:pt>
                <c:pt idx="1">
                  <c:v>-35.044285714285714</c:v>
                </c:pt>
                <c:pt idx="2">
                  <c:v>-44.874962219598586</c:v>
                </c:pt>
                <c:pt idx="3">
                  <c:v>-60.15625396825397</c:v>
                </c:pt>
                <c:pt idx="4">
                  <c:v>-78.91338207945901</c:v>
                </c:pt>
                <c:pt idx="5">
                  <c:v>-99.926</c:v>
                </c:pt>
                <c:pt idx="6">
                  <c:v>-122.41753968253967</c:v>
                </c:pt>
                <c:pt idx="7">
                  <c:v>-122.07857786327305</c:v>
                </c:pt>
                <c:pt idx="8">
                  <c:v>-121.80652086275262</c:v>
                </c:pt>
                <c:pt idx="9">
                  <c:v>-121.60405558627674</c:v>
                </c:pt>
                <c:pt idx="10">
                  <c:v>-121.47346352884017</c:v>
                </c:pt>
                <c:pt idx="11">
                  <c:v>-121.41635552613461</c:v>
                </c:pt>
                <c:pt idx="12">
                  <c:v>-121.43328823529411</c:v>
                </c:pt>
                <c:pt idx="13">
                  <c:v>-121.52320843729893</c:v>
                </c:pt>
                <c:pt idx="14">
                  <c:v>-121.68264424060263</c:v>
                </c:pt>
                <c:pt idx="15">
                  <c:v>-121.9045200476424</c:v>
                </c:pt>
                <c:pt idx="16">
                  <c:v>-122.17640503549885</c:v>
                </c:pt>
                <c:pt idx="17">
                  <c:v>-122.47789620998671</c:v>
                </c:pt>
                <c:pt idx="18">
                  <c:v>-122.77665737898465</c:v>
                </c:pt>
                <c:pt idx="19">
                  <c:v>-123.02233135290615</c:v>
                </c:pt>
                <c:pt idx="20">
                  <c:v>-123.1370149830405</c:v>
                </c:pt>
                <c:pt idx="21">
                  <c:v>-123.00004412264309</c:v>
                </c:pt>
                <c:pt idx="22">
                  <c:v>-122.4230968308429</c:v>
                </c:pt>
                <c:pt idx="23">
                  <c:v>-121.10829555453674</c:v>
                </c:pt>
                <c:pt idx="24">
                  <c:v>-118.57534750472672</c:v>
                </c:pt>
                <c:pt idx="25">
                  <c:v>-114.02984676743269</c:v>
                </c:pt>
                <c:pt idx="26">
                  <c:v>-106.114</c:v>
                </c:pt>
                <c:pt idx="27">
                  <c:v>-70.42966599597585</c:v>
                </c:pt>
                <c:pt idx="28">
                  <c:v>-9.282000000000002</c:v>
                </c:pt>
              </c:numCache>
            </c:numRef>
          </c:yVal>
          <c:smooth val="0"/>
        </c:ser>
        <c:axId val="21523971"/>
        <c:axId val="59498012"/>
      </c:scatterChart>
      <c:valAx>
        <c:axId val="21523971"/>
        <c:scaling>
          <c:orientation val="maxMin"/>
          <c:max val="500"/>
        </c:scaling>
        <c:axPos val="b"/>
        <c:delete val="0"/>
        <c:numFmt formatCode="0" sourceLinked="0"/>
        <c:majorTickMark val="out"/>
        <c:minorTickMark val="none"/>
        <c:tickLblPos val="nextTo"/>
        <c:crossAx val="59498012"/>
        <c:crosses val="autoZero"/>
        <c:crossBetween val="midCat"/>
        <c:dispUnits/>
      </c:valAx>
      <c:valAx>
        <c:axId val="59498012"/>
        <c:scaling>
          <c:orientation val="minMax"/>
          <c:max val="150"/>
          <c:min val="-150"/>
        </c:scaling>
        <c:axPos val="r"/>
        <c:delete val="0"/>
        <c:numFmt formatCode="0" sourceLinked="0"/>
        <c:majorTickMark val="out"/>
        <c:minorTickMark val="none"/>
        <c:tickLblPos val="nextTo"/>
        <c:crossAx val="215239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16'!$K$13:$K$51</c:f>
              <c:numCache>
                <c:ptCount val="39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-12.981818181818184</c:v>
                </c:pt>
                <c:pt idx="6">
                  <c:v>-47.6</c:v>
                </c:pt>
                <c:pt idx="7">
                  <c:v>-98.86153846153849</c:v>
                </c:pt>
                <c:pt idx="8">
                  <c:v>-163.20000000000002</c:v>
                </c:pt>
                <c:pt idx="9">
                  <c:v>-238</c:v>
                </c:pt>
                <c:pt idx="12">
                  <c:v>-238</c:v>
                </c:pt>
                <c:pt idx="13">
                  <c:v>-246.4902186421174</c:v>
                </c:pt>
                <c:pt idx="14">
                  <c:v>-255.60859188544148</c:v>
                </c:pt>
                <c:pt idx="15">
                  <c:v>-265.4275092936803</c:v>
                </c:pt>
                <c:pt idx="16">
                  <c:v>-276.0309278350516</c:v>
                </c:pt>
                <c:pt idx="17">
                  <c:v>-287.5167785234899</c:v>
                </c:pt>
                <c:pt idx="18">
                  <c:v>-300</c:v>
                </c:pt>
                <c:pt idx="19">
                  <c:v>-313.6163982430454</c:v>
                </c:pt>
                <c:pt idx="20">
                  <c:v>-328.5276073619632</c:v>
                </c:pt>
                <c:pt idx="21">
                  <c:v>-344.9275362318841</c:v>
                </c:pt>
                <c:pt idx="22">
                  <c:v>-363.0508474576272</c:v>
                </c:pt>
                <c:pt idx="23">
                  <c:v>-383.1842576028624</c:v>
                </c:pt>
                <c:pt idx="24">
                  <c:v>-405.68181818181824</c:v>
                </c:pt>
                <c:pt idx="25">
                  <c:v>-430.9859154929577</c:v>
                </c:pt>
                <c:pt idx="26">
                  <c:v>-459.6566523605151</c:v>
                </c:pt>
                <c:pt idx="27">
                  <c:v>-492.4137931034483</c:v>
                </c:pt>
                <c:pt idx="28">
                  <c:v>-530.1980198019802</c:v>
                </c:pt>
                <c:pt idx="29">
                  <c:v>-574.2627345844504</c:v>
                </c:pt>
                <c:pt idx="30">
                  <c:v>-626.3157894736843</c:v>
                </c:pt>
                <c:pt idx="31">
                  <c:v>-688.7459807073956</c:v>
                </c:pt>
                <c:pt idx="32">
                  <c:v>-765.0000000000001</c:v>
                </c:pt>
                <c:pt idx="35">
                  <c:v>-765</c:v>
                </c:pt>
                <c:pt idx="36">
                  <c:v>-918</c:v>
                </c:pt>
                <c:pt idx="37">
                  <c:v>-1071</c:v>
                </c:pt>
                <c:pt idx="38">
                  <c:v>-1071</c:v>
                </c:pt>
              </c:numCache>
            </c:numRef>
          </c:xVal>
          <c:yVal>
            <c:numRef>
              <c:f>'Es 16'!$L$13:$L$51</c:f>
              <c:numCache>
                <c:ptCount val="39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3.674247933884298</c:v>
                </c:pt>
                <c:pt idx="6">
                  <c:v>12.799111111111111</c:v>
                </c:pt>
                <c:pt idx="7">
                  <c:v>25.39981065088758</c:v>
                </c:pt>
                <c:pt idx="8">
                  <c:v>40.256</c:v>
                </c:pt>
                <c:pt idx="9">
                  <c:v>56.591111111111104</c:v>
                </c:pt>
                <c:pt idx="12">
                  <c:v>56.591111111111104</c:v>
                </c:pt>
                <c:pt idx="13">
                  <c:v>58.06277072041591</c:v>
                </c:pt>
                <c:pt idx="14">
                  <c:v>59.6013351484669</c:v>
                </c:pt>
                <c:pt idx="15">
                  <c:v>61.209491300562455</c:v>
                </c:pt>
                <c:pt idx="16">
                  <c:v>62.88952067169732</c:v>
                </c:pt>
                <c:pt idx="17">
                  <c:v>64.64303409756317</c:v>
                </c:pt>
                <c:pt idx="18">
                  <c:v>66.47058823529412</c:v>
                </c:pt>
                <c:pt idx="19">
                  <c:v>68.37112986587036</c:v>
                </c:pt>
                <c:pt idx="20">
                  <c:v>70.34118709774549</c:v>
                </c:pt>
                <c:pt idx="21">
                  <c:v>72.37368433335668</c:v>
                </c:pt>
                <c:pt idx="22">
                  <c:v>74.45619074978455</c:v>
                </c:pt>
                <c:pt idx="23">
                  <c:v>76.56830335284386</c:v>
                </c:pt>
                <c:pt idx="24">
                  <c:v>78.67768595041322</c:v>
                </c:pt>
                <c:pt idx="25">
                  <c:v>80.73398135290616</c:v>
                </c:pt>
                <c:pt idx="26">
                  <c:v>82.65928641161193</c:v>
                </c:pt>
                <c:pt idx="27">
                  <c:v>84.33293697978596</c:v>
                </c:pt>
                <c:pt idx="28">
                  <c:v>85.56661111655718</c:v>
                </c:pt>
                <c:pt idx="29">
                  <c:v>86.06243126882245</c:v>
                </c:pt>
                <c:pt idx="30">
                  <c:v>85.34010464758386</c:v>
                </c:pt>
                <c:pt idx="31">
                  <c:v>82.60522533886126</c:v>
                </c:pt>
                <c:pt idx="32">
                  <c:v>76.49999999999997</c:v>
                </c:pt>
                <c:pt idx="35">
                  <c:v>76.5</c:v>
                </c:pt>
                <c:pt idx="36">
                  <c:v>61.199999999999996</c:v>
                </c:pt>
                <c:pt idx="37">
                  <c:v>45.9</c:v>
                </c:pt>
                <c:pt idx="38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16'!$M$13:$M$51</c:f>
              <c:numCache>
                <c:ptCount val="39"/>
                <c:pt idx="0">
                  <c:v>153</c:v>
                </c:pt>
                <c:pt idx="1">
                  <c:v>81.96428571428571</c:v>
                </c:pt>
                <c:pt idx="4">
                  <c:v>81.96428571428571</c:v>
                </c:pt>
                <c:pt idx="5">
                  <c:v>61.878896103896096</c:v>
                </c:pt>
                <c:pt idx="6">
                  <c:v>20.15714285714285</c:v>
                </c:pt>
                <c:pt idx="7">
                  <c:v>-38.207967032967055</c:v>
                </c:pt>
                <c:pt idx="8">
                  <c:v>-109.65000000000003</c:v>
                </c:pt>
                <c:pt idx="9">
                  <c:v>-191.55357142857142</c:v>
                </c:pt>
                <c:pt idx="12">
                  <c:v>-191.55357142857142</c:v>
                </c:pt>
                <c:pt idx="13">
                  <c:v>-204.27861149926025</c:v>
                </c:pt>
                <c:pt idx="14">
                  <c:v>-217.63180617115577</c:v>
                </c:pt>
                <c:pt idx="15">
                  <c:v>-231.68554500796603</c:v>
                </c:pt>
                <c:pt idx="16">
                  <c:v>-246.52378497790875</c:v>
                </c:pt>
                <c:pt idx="17">
                  <c:v>-262.24445709491846</c:v>
                </c:pt>
                <c:pt idx="18">
                  <c:v>-278.9625</c:v>
                </c:pt>
                <c:pt idx="19">
                  <c:v>-296.8137196716168</c:v>
                </c:pt>
                <c:pt idx="20">
                  <c:v>-315.95975021910607</c:v>
                </c:pt>
                <c:pt idx="21">
                  <c:v>-336.5945005175984</c:v>
                </c:pt>
                <c:pt idx="22">
                  <c:v>-358.9526331719129</c:v>
                </c:pt>
                <c:pt idx="23">
                  <c:v>-383.3208647457195</c:v>
                </c:pt>
                <c:pt idx="24">
                  <c:v>-410.0532467532468</c:v>
                </c:pt>
                <c:pt idx="25">
                  <c:v>-439.5921654929577</c:v>
                </c:pt>
                <c:pt idx="26">
                  <c:v>-472.49772378908654</c:v>
                </c:pt>
                <c:pt idx="27">
                  <c:v>-509.48968596059115</c:v>
                </c:pt>
                <c:pt idx="28">
                  <c:v>-551.5087340876945</c:v>
                </c:pt>
                <c:pt idx="29">
                  <c:v>-599.8082702987361</c:v>
                </c:pt>
                <c:pt idx="30">
                  <c:v>-656.0961466165414</c:v>
                </c:pt>
                <c:pt idx="31">
                  <c:v>-722.7611592788242</c:v>
                </c:pt>
                <c:pt idx="32">
                  <c:v>-803.2500000000001</c:v>
                </c:pt>
                <c:pt idx="35">
                  <c:v>-803.25</c:v>
                </c:pt>
                <c:pt idx="36">
                  <c:v>-963.9</c:v>
                </c:pt>
                <c:pt idx="37">
                  <c:v>-1124.55</c:v>
                </c:pt>
                <c:pt idx="38">
                  <c:v>-1124.55</c:v>
                </c:pt>
              </c:numCache>
            </c:numRef>
          </c:xVal>
          <c:yVal>
            <c:numRef>
              <c:f>'Es 16'!$N$13:$N$51</c:f>
              <c:numCache>
                <c:ptCount val="39"/>
                <c:pt idx="0">
                  <c:v>3.694822225952521E-15</c:v>
                </c:pt>
                <c:pt idx="1">
                  <c:v>18.469285714285718</c:v>
                </c:pt>
                <c:pt idx="4">
                  <c:v>18.469285714285718</c:v>
                </c:pt>
                <c:pt idx="5">
                  <c:v>23.990462219598587</c:v>
                </c:pt>
                <c:pt idx="6">
                  <c:v>34.96225396825397</c:v>
                </c:pt>
                <c:pt idx="7">
                  <c:v>49.40988207945901</c:v>
                </c:pt>
                <c:pt idx="8">
                  <c:v>66.113</c:v>
                </c:pt>
                <c:pt idx="9">
                  <c:v>84.29503968253967</c:v>
                </c:pt>
                <c:pt idx="12">
                  <c:v>84.29503968253967</c:v>
                </c:pt>
                <c:pt idx="13">
                  <c:v>84.81245286327305</c:v>
                </c:pt>
                <c:pt idx="14">
                  <c:v>85.39677086275262</c:v>
                </c:pt>
                <c:pt idx="15">
                  <c:v>86.05068058627674</c:v>
                </c:pt>
                <c:pt idx="16">
                  <c:v>86.77646352884017</c:v>
                </c:pt>
                <c:pt idx="17">
                  <c:v>87.5757305261346</c:v>
                </c:pt>
                <c:pt idx="18">
                  <c:v>88.44903823529411</c:v>
                </c:pt>
                <c:pt idx="19">
                  <c:v>89.39533343729893</c:v>
                </c:pt>
                <c:pt idx="20">
                  <c:v>90.41114424060262</c:v>
                </c:pt>
                <c:pt idx="21">
                  <c:v>91.48939504764239</c:v>
                </c:pt>
                <c:pt idx="22">
                  <c:v>92.61765503549884</c:v>
                </c:pt>
                <c:pt idx="23">
                  <c:v>93.7755212099867</c:v>
                </c:pt>
                <c:pt idx="24">
                  <c:v>94.93065737898465</c:v>
                </c:pt>
                <c:pt idx="25">
                  <c:v>96.03270635290616</c:v>
                </c:pt>
                <c:pt idx="26">
                  <c:v>97.0037649830405</c:v>
                </c:pt>
                <c:pt idx="27">
                  <c:v>97.7231691226431</c:v>
                </c:pt>
                <c:pt idx="28">
                  <c:v>98.00259683084289</c:v>
                </c:pt>
                <c:pt idx="29">
                  <c:v>97.54417055453673</c:v>
                </c:pt>
                <c:pt idx="30">
                  <c:v>95.86759750472672</c:v>
                </c:pt>
                <c:pt idx="31">
                  <c:v>92.17847176743268</c:v>
                </c:pt>
                <c:pt idx="32">
                  <c:v>85.11899999999997</c:v>
                </c:pt>
                <c:pt idx="35">
                  <c:v>85.119</c:v>
                </c:pt>
                <c:pt idx="36">
                  <c:v>68.09519999999999</c:v>
                </c:pt>
                <c:pt idx="37">
                  <c:v>51.0714</c:v>
                </c:pt>
                <c:pt idx="38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16'!$O$13:$O$51</c:f>
              <c:numCache>
                <c:ptCount val="39"/>
                <c:pt idx="0">
                  <c:v>306</c:v>
                </c:pt>
                <c:pt idx="1">
                  <c:v>163.92857142857142</c:v>
                </c:pt>
                <c:pt idx="4">
                  <c:v>163.92857142857142</c:v>
                </c:pt>
                <c:pt idx="5">
                  <c:v>136.7396103896104</c:v>
                </c:pt>
                <c:pt idx="6">
                  <c:v>87.91428571428571</c:v>
                </c:pt>
                <c:pt idx="7">
                  <c:v>22.445604395604377</c:v>
                </c:pt>
                <c:pt idx="8">
                  <c:v>-56.10000000000004</c:v>
                </c:pt>
                <c:pt idx="9">
                  <c:v>-145.10714285714283</c:v>
                </c:pt>
                <c:pt idx="12">
                  <c:v>-145.10714285714283</c:v>
                </c:pt>
                <c:pt idx="13">
                  <c:v>-162.06700435640312</c:v>
                </c:pt>
                <c:pt idx="14">
                  <c:v>-179.65502045687003</c:v>
                </c:pt>
                <c:pt idx="15">
                  <c:v>-197.94358072225174</c:v>
                </c:pt>
                <c:pt idx="16">
                  <c:v>-217.0166421207659</c:v>
                </c:pt>
                <c:pt idx="17">
                  <c:v>-236.97213566634704</c:v>
                </c:pt>
                <c:pt idx="18">
                  <c:v>-257.925</c:v>
                </c:pt>
                <c:pt idx="19">
                  <c:v>-280.01104110018827</c:v>
                </c:pt>
                <c:pt idx="20">
                  <c:v>-303.3918930762489</c:v>
                </c:pt>
                <c:pt idx="21">
                  <c:v>-328.2614648033127</c:v>
                </c:pt>
                <c:pt idx="22">
                  <c:v>-354.85441888619863</c:v>
                </c:pt>
                <c:pt idx="23">
                  <c:v>-383.45747188857666</c:v>
                </c:pt>
                <c:pt idx="24">
                  <c:v>-414.4246753246754</c:v>
                </c:pt>
                <c:pt idx="25">
                  <c:v>-448.1984154929577</c:v>
                </c:pt>
                <c:pt idx="26">
                  <c:v>-485.33879521765795</c:v>
                </c:pt>
                <c:pt idx="27">
                  <c:v>-526.565578817734</c:v>
                </c:pt>
                <c:pt idx="28">
                  <c:v>-572.8194483734088</c:v>
                </c:pt>
                <c:pt idx="29">
                  <c:v>-625.3538060130218</c:v>
                </c:pt>
                <c:pt idx="30">
                  <c:v>-685.8765037593986</c:v>
                </c:pt>
                <c:pt idx="31">
                  <c:v>-756.7763378502527</c:v>
                </c:pt>
                <c:pt idx="32">
                  <c:v>-841.5000000000001</c:v>
                </c:pt>
                <c:pt idx="35">
                  <c:v>-841.5</c:v>
                </c:pt>
                <c:pt idx="36">
                  <c:v>-1009.8</c:v>
                </c:pt>
                <c:pt idx="37">
                  <c:v>-1178.1</c:v>
                </c:pt>
                <c:pt idx="38">
                  <c:v>-1178.1</c:v>
                </c:pt>
              </c:numCache>
            </c:numRef>
          </c:xVal>
          <c:yVal>
            <c:numRef>
              <c:f>'Es 16'!$P$13:$P$51</c:f>
              <c:numCache>
                <c:ptCount val="39"/>
                <c:pt idx="0">
                  <c:v>7.389644451905042E-15</c:v>
                </c:pt>
                <c:pt idx="1">
                  <c:v>36.938571428571436</c:v>
                </c:pt>
                <c:pt idx="4">
                  <c:v>36.938571428571436</c:v>
                </c:pt>
                <c:pt idx="5">
                  <c:v>44.30667650531287</c:v>
                </c:pt>
                <c:pt idx="6">
                  <c:v>57.12539682539683</c:v>
                </c:pt>
                <c:pt idx="7">
                  <c:v>73.41995350803043</c:v>
                </c:pt>
                <c:pt idx="8">
                  <c:v>91.97</c:v>
                </c:pt>
                <c:pt idx="9">
                  <c:v>111.99896825396823</c:v>
                </c:pt>
                <c:pt idx="12">
                  <c:v>111.99896825396823</c:v>
                </c:pt>
                <c:pt idx="13">
                  <c:v>111.5621350061302</c:v>
                </c:pt>
                <c:pt idx="14">
                  <c:v>111.19220657703833</c:v>
                </c:pt>
                <c:pt idx="15">
                  <c:v>110.89186987199103</c:v>
                </c:pt>
                <c:pt idx="16">
                  <c:v>110.66340638598302</c:v>
                </c:pt>
                <c:pt idx="17">
                  <c:v>110.50842695470604</c:v>
                </c:pt>
                <c:pt idx="18">
                  <c:v>110.4274882352941</c:v>
                </c:pt>
                <c:pt idx="19">
                  <c:v>110.4195370087275</c:v>
                </c:pt>
                <c:pt idx="20">
                  <c:v>110.48110138345976</c:v>
                </c:pt>
                <c:pt idx="21">
                  <c:v>110.6051057619281</c:v>
                </c:pt>
                <c:pt idx="22">
                  <c:v>110.77911932121313</c:v>
                </c:pt>
                <c:pt idx="23">
                  <c:v>110.98273906712956</c:v>
                </c:pt>
                <c:pt idx="24">
                  <c:v>111.18362880755608</c:v>
                </c:pt>
                <c:pt idx="25">
                  <c:v>111.33143135290615</c:v>
                </c:pt>
                <c:pt idx="26">
                  <c:v>111.34824355446908</c:v>
                </c:pt>
                <c:pt idx="27">
                  <c:v>111.11340126550024</c:v>
                </c:pt>
                <c:pt idx="28">
                  <c:v>110.43858254512861</c:v>
                </c:pt>
                <c:pt idx="29">
                  <c:v>109.02590984025102</c:v>
                </c:pt>
                <c:pt idx="30">
                  <c:v>106.39509036186956</c:v>
                </c:pt>
                <c:pt idx="31">
                  <c:v>101.75171819600412</c:v>
                </c:pt>
                <c:pt idx="32">
                  <c:v>93.73799999999997</c:v>
                </c:pt>
                <c:pt idx="35">
                  <c:v>93.738</c:v>
                </c:pt>
                <c:pt idx="36">
                  <c:v>74.9904</c:v>
                </c:pt>
                <c:pt idx="37">
                  <c:v>56.242799999999995</c:v>
                </c:pt>
                <c:pt idx="3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16'!$Q$13:$Q$51</c:f>
              <c:numCache>
                <c:ptCount val="39"/>
                <c:pt idx="0">
                  <c:v>459</c:v>
                </c:pt>
                <c:pt idx="1">
                  <c:v>245.8928571428571</c:v>
                </c:pt>
                <c:pt idx="4">
                  <c:v>245.8928571428571</c:v>
                </c:pt>
                <c:pt idx="5">
                  <c:v>211.60032467532466</c:v>
                </c:pt>
                <c:pt idx="6">
                  <c:v>155.67142857142858</c:v>
                </c:pt>
                <c:pt idx="7">
                  <c:v>83.0991758241758</c:v>
                </c:pt>
                <c:pt idx="8">
                  <c:v>-2.5500000000000114</c:v>
                </c:pt>
                <c:pt idx="9">
                  <c:v>-98.66071428571428</c:v>
                </c:pt>
                <c:pt idx="12">
                  <c:v>-98.66071428571428</c:v>
                </c:pt>
                <c:pt idx="13">
                  <c:v>-119.85539721354597</c:v>
                </c:pt>
                <c:pt idx="14">
                  <c:v>-141.67823474258432</c:v>
                </c:pt>
                <c:pt idx="15">
                  <c:v>-164.20161643653745</c:v>
                </c:pt>
                <c:pt idx="16">
                  <c:v>-187.509499263623</c:v>
                </c:pt>
                <c:pt idx="17">
                  <c:v>-211.69981423777563</c:v>
                </c:pt>
                <c:pt idx="18">
                  <c:v>-236.8875</c:v>
                </c:pt>
                <c:pt idx="19">
                  <c:v>-263.2083625287597</c:v>
                </c:pt>
                <c:pt idx="20">
                  <c:v>-290.82403593339177</c:v>
                </c:pt>
                <c:pt idx="21">
                  <c:v>-319.92842908902696</c:v>
                </c:pt>
                <c:pt idx="22">
                  <c:v>-350.75620460048435</c:v>
                </c:pt>
                <c:pt idx="23">
                  <c:v>-383.5940790314338</c:v>
                </c:pt>
                <c:pt idx="24">
                  <c:v>-418.79610389610394</c:v>
                </c:pt>
                <c:pt idx="25">
                  <c:v>-456.8046654929577</c:v>
                </c:pt>
                <c:pt idx="26">
                  <c:v>-498.1798666462294</c:v>
                </c:pt>
                <c:pt idx="27">
                  <c:v>-543.6414716748769</c:v>
                </c:pt>
                <c:pt idx="28">
                  <c:v>-594.130162659123</c:v>
                </c:pt>
                <c:pt idx="29">
                  <c:v>-650.8993417273075</c:v>
                </c:pt>
                <c:pt idx="30">
                  <c:v>-715.6568609022557</c:v>
                </c:pt>
                <c:pt idx="31">
                  <c:v>-790.7915164216813</c:v>
                </c:pt>
                <c:pt idx="32">
                  <c:v>-879.7500000000001</c:v>
                </c:pt>
                <c:pt idx="35">
                  <c:v>-879.75</c:v>
                </c:pt>
                <c:pt idx="36">
                  <c:v>-1055.7</c:v>
                </c:pt>
                <c:pt idx="37">
                  <c:v>-1231.65</c:v>
                </c:pt>
                <c:pt idx="38">
                  <c:v>-1231.65</c:v>
                </c:pt>
              </c:numCache>
            </c:numRef>
          </c:xVal>
          <c:yVal>
            <c:numRef>
              <c:f>'Es 16'!$R$13:$R$51</c:f>
              <c:numCache>
                <c:ptCount val="39"/>
                <c:pt idx="0">
                  <c:v>1.1084466677857562E-14</c:v>
                </c:pt>
                <c:pt idx="1">
                  <c:v>55.407857142857154</c:v>
                </c:pt>
                <c:pt idx="4">
                  <c:v>55.407857142857154</c:v>
                </c:pt>
                <c:pt idx="5">
                  <c:v>64.62289079102716</c:v>
                </c:pt>
                <c:pt idx="6">
                  <c:v>79.28853968253969</c:v>
                </c:pt>
                <c:pt idx="7">
                  <c:v>97.43002493660185</c:v>
                </c:pt>
                <c:pt idx="8">
                  <c:v>117.82700000000001</c:v>
                </c:pt>
                <c:pt idx="9">
                  <c:v>139.7028968253968</c:v>
                </c:pt>
                <c:pt idx="12">
                  <c:v>139.7028968253968</c:v>
                </c:pt>
                <c:pt idx="13">
                  <c:v>138.31181714898736</c:v>
                </c:pt>
                <c:pt idx="14">
                  <c:v>136.98764229132405</c:v>
                </c:pt>
                <c:pt idx="15">
                  <c:v>135.7330591577053</c:v>
                </c:pt>
                <c:pt idx="16">
                  <c:v>134.55034924312588</c:v>
                </c:pt>
                <c:pt idx="17">
                  <c:v>133.44112338327744</c:v>
                </c:pt>
                <c:pt idx="18">
                  <c:v>132.40593823529412</c:v>
                </c:pt>
                <c:pt idx="19">
                  <c:v>131.44374058015606</c:v>
                </c:pt>
                <c:pt idx="20">
                  <c:v>130.5510585263169</c:v>
                </c:pt>
                <c:pt idx="21">
                  <c:v>129.72081647621383</c:v>
                </c:pt>
                <c:pt idx="22">
                  <c:v>128.94058360692742</c:v>
                </c:pt>
                <c:pt idx="23">
                  <c:v>128.18995692427242</c:v>
                </c:pt>
                <c:pt idx="24">
                  <c:v>127.4366002361275</c:v>
                </c:pt>
                <c:pt idx="25">
                  <c:v>126.63015635290614</c:v>
                </c:pt>
                <c:pt idx="26">
                  <c:v>125.69272212589763</c:v>
                </c:pt>
                <c:pt idx="27">
                  <c:v>124.50363340835739</c:v>
                </c:pt>
                <c:pt idx="28">
                  <c:v>122.87456825941433</c:v>
                </c:pt>
                <c:pt idx="29">
                  <c:v>120.50764912596529</c:v>
                </c:pt>
                <c:pt idx="30">
                  <c:v>116.92258321901242</c:v>
                </c:pt>
                <c:pt idx="31">
                  <c:v>111.32496462457554</c:v>
                </c:pt>
                <c:pt idx="32">
                  <c:v>102.35699999999997</c:v>
                </c:pt>
                <c:pt idx="35">
                  <c:v>102.357</c:v>
                </c:pt>
                <c:pt idx="36">
                  <c:v>81.88559999999998</c:v>
                </c:pt>
                <c:pt idx="37">
                  <c:v>61.414199999999994</c:v>
                </c:pt>
                <c:pt idx="38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16'!$S$13:$S$51</c:f>
              <c:numCache>
                <c:ptCount val="39"/>
                <c:pt idx="0">
                  <c:v>612</c:v>
                </c:pt>
                <c:pt idx="1">
                  <c:v>327.85714285714283</c:v>
                </c:pt>
                <c:pt idx="4">
                  <c:v>327.85714285714283</c:v>
                </c:pt>
                <c:pt idx="5">
                  <c:v>286.4610389610389</c:v>
                </c:pt>
                <c:pt idx="6">
                  <c:v>223.42857142857142</c:v>
                </c:pt>
                <c:pt idx="7">
                  <c:v>143.75274725274724</c:v>
                </c:pt>
                <c:pt idx="8">
                  <c:v>50.99999999999994</c:v>
                </c:pt>
                <c:pt idx="9">
                  <c:v>-52.214285714285694</c:v>
                </c:pt>
                <c:pt idx="12">
                  <c:v>-52.214285714285694</c:v>
                </c:pt>
                <c:pt idx="13">
                  <c:v>-77.64379007068882</c:v>
                </c:pt>
                <c:pt idx="14">
                  <c:v>-103.70144902829861</c:v>
                </c:pt>
                <c:pt idx="15">
                  <c:v>-130.45965215082316</c:v>
                </c:pt>
                <c:pt idx="16">
                  <c:v>-158.0023564064802</c:v>
                </c:pt>
                <c:pt idx="17">
                  <c:v>-186.42749280920418</c:v>
                </c:pt>
                <c:pt idx="18">
                  <c:v>-215.84999999999997</c:v>
                </c:pt>
                <c:pt idx="19">
                  <c:v>-246.40568395733112</c:v>
                </c:pt>
                <c:pt idx="20">
                  <c:v>-278.2561787905346</c:v>
                </c:pt>
                <c:pt idx="21">
                  <c:v>-311.59539337474126</c:v>
                </c:pt>
                <c:pt idx="22">
                  <c:v>-346.65799031477</c:v>
                </c:pt>
                <c:pt idx="23">
                  <c:v>-383.73068617429095</c:v>
                </c:pt>
                <c:pt idx="24">
                  <c:v>-423.1675324675325</c:v>
                </c:pt>
                <c:pt idx="25">
                  <c:v>-465.4109154929577</c:v>
                </c:pt>
                <c:pt idx="26">
                  <c:v>-511.0209380748008</c:v>
                </c:pt>
                <c:pt idx="27">
                  <c:v>-560.7173645320197</c:v>
                </c:pt>
                <c:pt idx="28">
                  <c:v>-615.4408769448373</c:v>
                </c:pt>
                <c:pt idx="29">
                  <c:v>-676.4448774415932</c:v>
                </c:pt>
                <c:pt idx="30">
                  <c:v>-745.4372180451128</c:v>
                </c:pt>
                <c:pt idx="31">
                  <c:v>-824.8066949931099</c:v>
                </c:pt>
                <c:pt idx="32">
                  <c:v>-918.0000000000001</c:v>
                </c:pt>
                <c:pt idx="35">
                  <c:v>-918</c:v>
                </c:pt>
                <c:pt idx="36">
                  <c:v>-1101.6</c:v>
                </c:pt>
                <c:pt idx="37">
                  <c:v>-1285.2</c:v>
                </c:pt>
                <c:pt idx="38">
                  <c:v>-1285.2</c:v>
                </c:pt>
              </c:numCache>
            </c:numRef>
          </c:xVal>
          <c:yVal>
            <c:numRef>
              <c:f>'Es 16'!$T$13:$T$51</c:f>
              <c:numCache>
                <c:ptCount val="39"/>
                <c:pt idx="0">
                  <c:v>1.4779288903810084E-14</c:v>
                </c:pt>
                <c:pt idx="1">
                  <c:v>73.87714285714287</c:v>
                </c:pt>
                <c:pt idx="4">
                  <c:v>73.87714285714287</c:v>
                </c:pt>
                <c:pt idx="5">
                  <c:v>84.93910507674146</c:v>
                </c:pt>
                <c:pt idx="6">
                  <c:v>101.45168253968255</c:v>
                </c:pt>
                <c:pt idx="7">
                  <c:v>121.44009636517328</c:v>
                </c:pt>
                <c:pt idx="8">
                  <c:v>143.68400000000003</c:v>
                </c:pt>
                <c:pt idx="9">
                  <c:v>167.40682539682535</c:v>
                </c:pt>
                <c:pt idx="12">
                  <c:v>167.40682539682535</c:v>
                </c:pt>
                <c:pt idx="13">
                  <c:v>165.06149929184448</c:v>
                </c:pt>
                <c:pt idx="14">
                  <c:v>162.78307800560975</c:v>
                </c:pt>
                <c:pt idx="15">
                  <c:v>160.5742484434196</c:v>
                </c:pt>
                <c:pt idx="16">
                  <c:v>158.43729210026873</c:v>
                </c:pt>
                <c:pt idx="17">
                  <c:v>156.37381981184888</c:v>
                </c:pt>
                <c:pt idx="18">
                  <c:v>154.3843882352941</c:v>
                </c:pt>
                <c:pt idx="19">
                  <c:v>152.46794415158462</c:v>
                </c:pt>
                <c:pt idx="20">
                  <c:v>150.62101566917403</c:v>
                </c:pt>
                <c:pt idx="21">
                  <c:v>148.8365271904995</c:v>
                </c:pt>
                <c:pt idx="22">
                  <c:v>147.10204789264168</c:v>
                </c:pt>
                <c:pt idx="23">
                  <c:v>145.3971747814153</c:v>
                </c:pt>
                <c:pt idx="24">
                  <c:v>143.68957166469892</c:v>
                </c:pt>
                <c:pt idx="25">
                  <c:v>141.92888135290616</c:v>
                </c:pt>
                <c:pt idx="26">
                  <c:v>140.03720069732623</c:v>
                </c:pt>
                <c:pt idx="27">
                  <c:v>137.89386555121453</c:v>
                </c:pt>
                <c:pt idx="28">
                  <c:v>135.31055397370005</c:v>
                </c:pt>
                <c:pt idx="29">
                  <c:v>131.98938841167958</c:v>
                </c:pt>
                <c:pt idx="30">
                  <c:v>127.45007607615528</c:v>
                </c:pt>
                <c:pt idx="31">
                  <c:v>120.89821105314698</c:v>
                </c:pt>
                <c:pt idx="32">
                  <c:v>110.97599999999997</c:v>
                </c:pt>
                <c:pt idx="35">
                  <c:v>110.976</c:v>
                </c:pt>
                <c:pt idx="36">
                  <c:v>88.78079999999999</c:v>
                </c:pt>
                <c:pt idx="37">
                  <c:v>66.5856</c:v>
                </c:pt>
                <c:pt idx="38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16'!$U$13:$U$51</c:f>
              <c:numCache>
                <c:ptCount val="39"/>
                <c:pt idx="0">
                  <c:v>765</c:v>
                </c:pt>
                <c:pt idx="1">
                  <c:v>409.8214285714285</c:v>
                </c:pt>
                <c:pt idx="4">
                  <c:v>409.8214285714285</c:v>
                </c:pt>
                <c:pt idx="5">
                  <c:v>361.3217532467532</c:v>
                </c:pt>
                <c:pt idx="6">
                  <c:v>291.18571428571425</c:v>
                </c:pt>
                <c:pt idx="7">
                  <c:v>204.40631868131868</c:v>
                </c:pt>
                <c:pt idx="8">
                  <c:v>104.54999999999998</c:v>
                </c:pt>
                <c:pt idx="9">
                  <c:v>-5.76785714285711</c:v>
                </c:pt>
                <c:pt idx="12">
                  <c:v>-5.76785714285711</c:v>
                </c:pt>
                <c:pt idx="13">
                  <c:v>-35.43218292783166</c:v>
                </c:pt>
                <c:pt idx="14">
                  <c:v>-65.7246633140129</c:v>
                </c:pt>
                <c:pt idx="15">
                  <c:v>-96.71768786510887</c:v>
                </c:pt>
                <c:pt idx="16">
                  <c:v>-128.4952135493373</c:v>
                </c:pt>
                <c:pt idx="17">
                  <c:v>-161.15517138063274</c:v>
                </c:pt>
                <c:pt idx="18">
                  <c:v>-194.8125</c:v>
                </c:pt>
                <c:pt idx="19">
                  <c:v>-229.60300538590255</c:v>
                </c:pt>
                <c:pt idx="20">
                  <c:v>-265.68832164767747</c:v>
                </c:pt>
                <c:pt idx="21">
                  <c:v>-303.26235766045556</c:v>
                </c:pt>
                <c:pt idx="22">
                  <c:v>-342.55977602905574</c:v>
                </c:pt>
                <c:pt idx="23">
                  <c:v>-383.8672933171481</c:v>
                </c:pt>
                <c:pt idx="24">
                  <c:v>-427.5389610389611</c:v>
                </c:pt>
                <c:pt idx="25">
                  <c:v>-474.0171654929577</c:v>
                </c:pt>
                <c:pt idx="26">
                  <c:v>-523.8620095033723</c:v>
                </c:pt>
                <c:pt idx="27">
                  <c:v>-577.7932573891626</c:v>
                </c:pt>
                <c:pt idx="28">
                  <c:v>-636.7515912305516</c:v>
                </c:pt>
                <c:pt idx="29">
                  <c:v>-701.990413155879</c:v>
                </c:pt>
                <c:pt idx="30">
                  <c:v>-775.2175751879699</c:v>
                </c:pt>
                <c:pt idx="31">
                  <c:v>-858.8218735645384</c:v>
                </c:pt>
                <c:pt idx="32">
                  <c:v>-956.2500000000001</c:v>
                </c:pt>
                <c:pt idx="35">
                  <c:v>-956.25</c:v>
                </c:pt>
                <c:pt idx="36">
                  <c:v>-1147.5</c:v>
                </c:pt>
                <c:pt idx="37">
                  <c:v>-1338.75</c:v>
                </c:pt>
                <c:pt idx="38">
                  <c:v>-1338.75</c:v>
                </c:pt>
              </c:numCache>
            </c:numRef>
          </c:xVal>
          <c:yVal>
            <c:numRef>
              <c:f>'Es 16'!$V$13:$V$51</c:f>
              <c:numCache>
                <c:ptCount val="39"/>
                <c:pt idx="0">
                  <c:v>1.8474111129762605E-14</c:v>
                </c:pt>
                <c:pt idx="1">
                  <c:v>92.34642857142859</c:v>
                </c:pt>
                <c:pt idx="4">
                  <c:v>92.34642857142859</c:v>
                </c:pt>
                <c:pt idx="5">
                  <c:v>105.25531936245574</c:v>
                </c:pt>
                <c:pt idx="6">
                  <c:v>123.61482539682541</c:v>
                </c:pt>
                <c:pt idx="7">
                  <c:v>145.4501677937447</c:v>
                </c:pt>
                <c:pt idx="8">
                  <c:v>169.541</c:v>
                </c:pt>
                <c:pt idx="9">
                  <c:v>195.11075396825396</c:v>
                </c:pt>
                <c:pt idx="12">
                  <c:v>195.11075396825396</c:v>
                </c:pt>
                <c:pt idx="13">
                  <c:v>191.8111814347016</c:v>
                </c:pt>
                <c:pt idx="14">
                  <c:v>188.5785137198955</c:v>
                </c:pt>
                <c:pt idx="15">
                  <c:v>185.41543772913388</c:v>
                </c:pt>
                <c:pt idx="16">
                  <c:v>182.3242349574116</c:v>
                </c:pt>
                <c:pt idx="17">
                  <c:v>179.3065162404203</c:v>
                </c:pt>
                <c:pt idx="18">
                  <c:v>176.36283823529408</c:v>
                </c:pt>
                <c:pt idx="19">
                  <c:v>173.4921477230132</c:v>
                </c:pt>
                <c:pt idx="20">
                  <c:v>170.6909728120312</c:v>
                </c:pt>
                <c:pt idx="21">
                  <c:v>167.95223790478525</c:v>
                </c:pt>
                <c:pt idx="22">
                  <c:v>165.263512178356</c:v>
                </c:pt>
                <c:pt idx="23">
                  <c:v>162.60439263855812</c:v>
                </c:pt>
                <c:pt idx="24">
                  <c:v>159.94254309327036</c:v>
                </c:pt>
                <c:pt idx="25">
                  <c:v>157.22760635290615</c:v>
                </c:pt>
                <c:pt idx="26">
                  <c:v>154.3816792687548</c:v>
                </c:pt>
                <c:pt idx="27">
                  <c:v>151.28409769407165</c:v>
                </c:pt>
                <c:pt idx="28">
                  <c:v>147.74653968798575</c:v>
                </c:pt>
                <c:pt idx="29">
                  <c:v>143.47112769739385</c:v>
                </c:pt>
                <c:pt idx="30">
                  <c:v>137.97756893329813</c:v>
                </c:pt>
                <c:pt idx="31">
                  <c:v>130.4714574817184</c:v>
                </c:pt>
                <c:pt idx="32">
                  <c:v>119.59499999999997</c:v>
                </c:pt>
                <c:pt idx="35">
                  <c:v>119.595</c:v>
                </c:pt>
                <c:pt idx="36">
                  <c:v>95.67599999999999</c:v>
                </c:pt>
                <c:pt idx="37">
                  <c:v>71.75699999999999</c:v>
                </c:pt>
                <c:pt idx="38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16'!$W$13:$W$51</c:f>
              <c:numCache>
                <c:ptCount val="39"/>
                <c:pt idx="0">
                  <c:v>918</c:v>
                </c:pt>
                <c:pt idx="1">
                  <c:v>491.7857142857142</c:v>
                </c:pt>
                <c:pt idx="4">
                  <c:v>491.7857142857142</c:v>
                </c:pt>
                <c:pt idx="5">
                  <c:v>436.18246753246746</c:v>
                </c:pt>
                <c:pt idx="6">
                  <c:v>358.9428571428571</c:v>
                </c:pt>
                <c:pt idx="7">
                  <c:v>265.0598901098901</c:v>
                </c:pt>
                <c:pt idx="8">
                  <c:v>158.1</c:v>
                </c:pt>
                <c:pt idx="9">
                  <c:v>40.678571428571445</c:v>
                </c:pt>
                <c:pt idx="12">
                  <c:v>40.678571428571445</c:v>
                </c:pt>
                <c:pt idx="13">
                  <c:v>6.779424215025472</c:v>
                </c:pt>
                <c:pt idx="14">
                  <c:v>-27.74787759972719</c:v>
                </c:pt>
                <c:pt idx="15">
                  <c:v>-62.97572357939458</c:v>
                </c:pt>
                <c:pt idx="16">
                  <c:v>-98.98807069219444</c:v>
                </c:pt>
                <c:pt idx="17">
                  <c:v>-135.88284995206132</c:v>
                </c:pt>
                <c:pt idx="18">
                  <c:v>-173.77499999999998</c:v>
                </c:pt>
                <c:pt idx="19">
                  <c:v>-212.80032681447398</c:v>
                </c:pt>
                <c:pt idx="20">
                  <c:v>-253.12046450482035</c:v>
                </c:pt>
                <c:pt idx="21">
                  <c:v>-294.9293219461698</c:v>
                </c:pt>
                <c:pt idx="22">
                  <c:v>-338.46156174334146</c:v>
                </c:pt>
                <c:pt idx="23">
                  <c:v>-384.00390046000524</c:v>
                </c:pt>
                <c:pt idx="24">
                  <c:v>-431.91038961038964</c:v>
                </c:pt>
                <c:pt idx="25">
                  <c:v>-482.6234154929577</c:v>
                </c:pt>
                <c:pt idx="26">
                  <c:v>-536.7030809319436</c:v>
                </c:pt>
                <c:pt idx="27">
                  <c:v>-594.8691502463055</c:v>
                </c:pt>
                <c:pt idx="28">
                  <c:v>-658.062305516266</c:v>
                </c:pt>
                <c:pt idx="29">
                  <c:v>-727.5359488701646</c:v>
                </c:pt>
                <c:pt idx="30">
                  <c:v>-804.9979323308271</c:v>
                </c:pt>
                <c:pt idx="31">
                  <c:v>-892.8370521359669</c:v>
                </c:pt>
                <c:pt idx="32">
                  <c:v>-994.5000000000001</c:v>
                </c:pt>
                <c:pt idx="35">
                  <c:v>-994.5</c:v>
                </c:pt>
                <c:pt idx="36">
                  <c:v>-1193.3999999999999</c:v>
                </c:pt>
                <c:pt idx="37">
                  <c:v>-1392.3</c:v>
                </c:pt>
                <c:pt idx="38">
                  <c:v>-1392.3</c:v>
                </c:pt>
              </c:numCache>
            </c:numRef>
          </c:xVal>
          <c:yVal>
            <c:numRef>
              <c:f>'Es 16'!$X$13:$X$51</c:f>
              <c:numCache>
                <c:ptCount val="39"/>
                <c:pt idx="0">
                  <c:v>2.2168933355715123E-14</c:v>
                </c:pt>
                <c:pt idx="1">
                  <c:v>110.81571428571431</c:v>
                </c:pt>
                <c:pt idx="4">
                  <c:v>110.81571428571431</c:v>
                </c:pt>
                <c:pt idx="5">
                  <c:v>125.57153364817003</c:v>
                </c:pt>
                <c:pt idx="6">
                  <c:v>145.77796825396825</c:v>
                </c:pt>
                <c:pt idx="7">
                  <c:v>169.46023922231615</c:v>
                </c:pt>
                <c:pt idx="8">
                  <c:v>195.39800000000002</c:v>
                </c:pt>
                <c:pt idx="9">
                  <c:v>222.81468253968254</c:v>
                </c:pt>
                <c:pt idx="12">
                  <c:v>222.81468253968254</c:v>
                </c:pt>
                <c:pt idx="13">
                  <c:v>218.5608635775588</c:v>
                </c:pt>
                <c:pt idx="14">
                  <c:v>214.3739494341812</c:v>
                </c:pt>
                <c:pt idx="15">
                  <c:v>210.25662701484816</c:v>
                </c:pt>
                <c:pt idx="16">
                  <c:v>206.21117781455445</c:v>
                </c:pt>
                <c:pt idx="17">
                  <c:v>202.23921266899174</c:v>
                </c:pt>
                <c:pt idx="18">
                  <c:v>198.3412882352941</c:v>
                </c:pt>
                <c:pt idx="19">
                  <c:v>194.51635129444176</c:v>
                </c:pt>
                <c:pt idx="20">
                  <c:v>190.7609299548883</c:v>
                </c:pt>
                <c:pt idx="21">
                  <c:v>187.06794861907093</c:v>
                </c:pt>
                <c:pt idx="22">
                  <c:v>183.42497646407026</c:v>
                </c:pt>
                <c:pt idx="23">
                  <c:v>179.811610495701</c:v>
                </c:pt>
                <c:pt idx="24">
                  <c:v>176.19551452184177</c:v>
                </c:pt>
                <c:pt idx="25">
                  <c:v>172.52633135290614</c:v>
                </c:pt>
                <c:pt idx="26">
                  <c:v>168.72615784018336</c:v>
                </c:pt>
                <c:pt idx="27">
                  <c:v>164.6743298369288</c:v>
                </c:pt>
                <c:pt idx="28">
                  <c:v>160.18252540227147</c:v>
                </c:pt>
                <c:pt idx="29">
                  <c:v>154.95286698310815</c:v>
                </c:pt>
                <c:pt idx="30">
                  <c:v>148.505061790441</c:v>
                </c:pt>
                <c:pt idx="31">
                  <c:v>140.04470391028983</c:v>
                </c:pt>
                <c:pt idx="32">
                  <c:v>128.21399999999997</c:v>
                </c:pt>
                <c:pt idx="35">
                  <c:v>128.214</c:v>
                </c:pt>
                <c:pt idx="36">
                  <c:v>102.57119999999998</c:v>
                </c:pt>
                <c:pt idx="37">
                  <c:v>76.9284</c:v>
                </c:pt>
                <c:pt idx="38">
                  <c:v>0</c:v>
                </c:pt>
              </c:numCache>
            </c:numRef>
          </c:yVal>
          <c:smooth val="0"/>
        </c:ser>
        <c:axId val="65720061"/>
        <c:axId val="54609638"/>
      </c:scatterChart>
      <c:valAx>
        <c:axId val="65720061"/>
        <c:scaling>
          <c:orientation val="maxMin"/>
          <c:max val="1000"/>
          <c:min val="-150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4609638"/>
        <c:crosses val="autoZero"/>
        <c:crossBetween val="midCat"/>
        <c:dispUnits/>
      </c:valAx>
      <c:valAx>
        <c:axId val="54609638"/>
        <c:scaling>
          <c:orientation val="minMax"/>
          <c:max val="350"/>
          <c:min val="0"/>
        </c:scaling>
        <c:axPos val="r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5720061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('Es 22'!$A$5,'Es 22'!$A$10,'Es 22'!$A$15,'Es 22'!$A$25,'Es 22'!$A$35,'Es 22'!$A$45)</c:f>
              <c:numCache>
                <c:ptCount val="6"/>
                <c:pt idx="0">
                  <c:v>598.24</c:v>
                </c:pt>
                <c:pt idx="1">
                  <c:v>528.4606909395661</c:v>
                </c:pt>
                <c:pt idx="2">
                  <c:v>-80.23454155167119</c:v>
                </c:pt>
                <c:pt idx="3">
                  <c:v>-827.3503268460748</c:v>
                </c:pt>
                <c:pt idx="4">
                  <c:v>-1876.778095238095</c:v>
                </c:pt>
                <c:pt idx="5">
                  <c:v>-2581.84</c:v>
                </c:pt>
              </c:numCache>
            </c:numRef>
          </c:xVal>
          <c:yVal>
            <c:numRef>
              <c:f>('Es 22'!$B$5,'Es 22'!$B$10,'Es 22'!$B$15,'Es 22'!$B$25,'Es 22'!$B$35,'Es 22'!$B$45)</c:f>
              <c:numCache>
                <c:ptCount val="6"/>
                <c:pt idx="0">
                  <c:v>38.885600000000004</c:v>
                </c:pt>
                <c:pt idx="1">
                  <c:v>59.06259625915622</c:v>
                </c:pt>
                <c:pt idx="2">
                  <c:v>216.27337042999602</c:v>
                </c:pt>
                <c:pt idx="3">
                  <c:v>300.2833920949305</c:v>
                </c:pt>
                <c:pt idx="4">
                  <c:v>127.15833197278911</c:v>
                </c:pt>
                <c:pt idx="5">
                  <c:v>-38.885600000000004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('Es 22'!$D$10,'Es 22'!$D$15,'Es 22'!$D$25,'Es 22'!$D$35)</c:f>
              <c:numCache>
                <c:ptCount val="4"/>
                <c:pt idx="0">
                  <c:v>528.4606909395661</c:v>
                </c:pt>
                <c:pt idx="1">
                  <c:v>-379.35454155167116</c:v>
                </c:pt>
                <c:pt idx="2">
                  <c:v>-1126.4703268460748</c:v>
                </c:pt>
                <c:pt idx="3">
                  <c:v>-2007.6714285714284</c:v>
                </c:pt>
              </c:numCache>
            </c:numRef>
          </c:xVal>
          <c:yVal>
            <c:numRef>
              <c:f>('Es 22'!$E$10,'Es 22'!$E$15,'Es 22'!$E$25,'Es 22'!$E$35)</c:f>
              <c:numCache>
                <c:ptCount val="4"/>
                <c:pt idx="0">
                  <c:v>18.7086037408438</c:v>
                </c:pt>
                <c:pt idx="1">
                  <c:v>-216.273370429996</c:v>
                </c:pt>
                <c:pt idx="2">
                  <c:v>-300.2833920949305</c:v>
                </c:pt>
                <c:pt idx="3">
                  <c:v>-170.89726530612242</c:v>
                </c:pt>
              </c:numCache>
            </c:numRef>
          </c:yVal>
          <c:smooth val="0"/>
        </c:ser>
        <c:ser>
          <c:idx val="3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22'!$A$5:$A$45</c:f>
              <c:numCache>
                <c:ptCount val="41"/>
                <c:pt idx="0">
                  <c:v>598.24</c:v>
                </c:pt>
                <c:pt idx="1">
                  <c:v>584.2841381879132</c:v>
                </c:pt>
                <c:pt idx="2">
                  <c:v>570.3282763758264</c:v>
                </c:pt>
                <c:pt idx="3">
                  <c:v>556.3724145637395</c:v>
                </c:pt>
                <c:pt idx="4">
                  <c:v>542.4165527516528</c:v>
                </c:pt>
                <c:pt idx="5">
                  <c:v>528.4606909395661</c:v>
                </c:pt>
                <c:pt idx="6">
                  <c:v>293.8602210716849</c:v>
                </c:pt>
                <c:pt idx="7">
                  <c:v>156.18713880868648</c:v>
                </c:pt>
                <c:pt idx="8">
                  <c:v>59.3101807331379</c:v>
                </c:pt>
                <c:pt idx="9">
                  <c:v>-16.57332857788442</c:v>
                </c:pt>
                <c:pt idx="10">
                  <c:v>-80.23454155167119</c:v>
                </c:pt>
                <c:pt idx="11">
                  <c:v>-154.94612008111153</c:v>
                </c:pt>
                <c:pt idx="12">
                  <c:v>-229.6576986105519</c:v>
                </c:pt>
                <c:pt idx="13">
                  <c:v>-304.3692771399923</c:v>
                </c:pt>
                <c:pt idx="14">
                  <c:v>-379.08085566943265</c:v>
                </c:pt>
                <c:pt idx="15">
                  <c:v>-453.7924341988731</c:v>
                </c:pt>
                <c:pt idx="16">
                  <c:v>-528.5040127283135</c:v>
                </c:pt>
                <c:pt idx="17">
                  <c:v>-603.2155912577538</c:v>
                </c:pt>
                <c:pt idx="18">
                  <c:v>-677.9271697871942</c:v>
                </c:pt>
                <c:pt idx="19">
                  <c:v>-752.6387483166343</c:v>
                </c:pt>
                <c:pt idx="20">
                  <c:v>-827.3503268460748</c:v>
                </c:pt>
                <c:pt idx="21">
                  <c:v>-955.18510515208</c:v>
                </c:pt>
                <c:pt idx="22">
                  <c:v>-1075.6118237037972</c:v>
                </c:pt>
                <c:pt idx="23">
                  <c:v>-1189.8295471610304</c:v>
                </c:pt>
                <c:pt idx="24">
                  <c:v>-1298.7918138059147</c:v>
                </c:pt>
                <c:pt idx="25">
                  <c:v>-1403.2664191333809</c:v>
                </c:pt>
                <c:pt idx="26">
                  <c:v>-1503.8785424521036</c:v>
                </c:pt>
                <c:pt idx="27">
                  <c:v>-1601.1423907145306</c:v>
                </c:pt>
                <c:pt idx="28">
                  <c:v>-1695.484774947806</c:v>
                </c:pt>
                <c:pt idx="29">
                  <c:v>-1787.2629210065243</c:v>
                </c:pt>
                <c:pt idx="30">
                  <c:v>-1876.778095238095</c:v>
                </c:pt>
                <c:pt idx="31">
                  <c:v>-1983.898857142857</c:v>
                </c:pt>
                <c:pt idx="32">
                  <c:v>-2083.4630476190478</c:v>
                </c:pt>
                <c:pt idx="33">
                  <c:v>-2175.470666666667</c:v>
                </c:pt>
                <c:pt idx="34">
                  <c:v>-2259.9217142857146</c:v>
                </c:pt>
                <c:pt idx="35">
                  <c:v>-2336.81619047619</c:v>
                </c:pt>
                <c:pt idx="36">
                  <c:v>-2406.154095238095</c:v>
                </c:pt>
                <c:pt idx="37">
                  <c:v>-2467.935428571429</c:v>
                </c:pt>
                <c:pt idx="38">
                  <c:v>-2522.1601904761906</c:v>
                </c:pt>
                <c:pt idx="39">
                  <c:v>-2568.828380952381</c:v>
                </c:pt>
                <c:pt idx="40">
                  <c:v>-2581.84</c:v>
                </c:pt>
              </c:numCache>
            </c:numRef>
          </c:xVal>
          <c:yVal>
            <c:numRef>
              <c:f>'Es 22'!$B$5:$B$45</c:f>
              <c:numCache>
                <c:ptCount val="41"/>
                <c:pt idx="0">
                  <c:v>38.885600000000004</c:v>
                </c:pt>
                <c:pt idx="1">
                  <c:v>43.04208668526708</c:v>
                </c:pt>
                <c:pt idx="2">
                  <c:v>47.13802965381625</c:v>
                </c:pt>
                <c:pt idx="3">
                  <c:v>51.1734289056475</c:v>
                </c:pt>
                <c:pt idx="4">
                  <c:v>55.148284440760825</c:v>
                </c:pt>
                <c:pt idx="5">
                  <c:v>59.06259625915622</c:v>
                </c:pt>
                <c:pt idx="6">
                  <c:v>120.48547035481526</c:v>
                </c:pt>
                <c:pt idx="7">
                  <c:v>156.38884908051162</c:v>
                </c:pt>
                <c:pt idx="8">
                  <c:v>181.36686092477788</c:v>
                </c:pt>
                <c:pt idx="9">
                  <c:v>200.56820149757417</c:v>
                </c:pt>
                <c:pt idx="10">
                  <c:v>216.27337042999602</c:v>
                </c:pt>
                <c:pt idx="11">
                  <c:v>232.4824497478585</c:v>
                </c:pt>
                <c:pt idx="12">
                  <c:v>246.9564008098612</c:v>
                </c:pt>
                <c:pt idx="13">
                  <c:v>259.6952236160041</c:v>
                </c:pt>
                <c:pt idx="14">
                  <c:v>270.6989181662872</c:v>
                </c:pt>
                <c:pt idx="15">
                  <c:v>279.9674844607106</c:v>
                </c:pt>
                <c:pt idx="16">
                  <c:v>287.5009224992741</c:v>
                </c:pt>
                <c:pt idx="17">
                  <c:v>293.2992322819779</c:v>
                </c:pt>
                <c:pt idx="18">
                  <c:v>297.3624138088219</c:v>
                </c:pt>
                <c:pt idx="19">
                  <c:v>299.690467079806</c:v>
                </c:pt>
                <c:pt idx="20">
                  <c:v>300.2833920949305</c:v>
                </c:pt>
                <c:pt idx="21">
                  <c:v>282.5509091977513</c:v>
                </c:pt>
                <c:pt idx="22">
                  <c:v>265.5152010597083</c:v>
                </c:pt>
                <c:pt idx="23">
                  <c:v>248.86451086925248</c:v>
                </c:pt>
                <c:pt idx="24">
                  <c:v>232.35091867302899</c:v>
                </c:pt>
                <c:pt idx="25">
                  <c:v>215.77479764235548</c:v>
                </c:pt>
                <c:pt idx="26">
                  <c:v>198.97360115697666</c:v>
                </c:pt>
                <c:pt idx="27">
                  <c:v>181.81363540925597</c:v>
                </c:pt>
                <c:pt idx="28">
                  <c:v>164.18392953213632</c:v>
                </c:pt>
                <c:pt idx="29">
                  <c:v>145.99160480342283</c:v>
                </c:pt>
                <c:pt idx="30">
                  <c:v>127.15833197278911</c:v>
                </c:pt>
                <c:pt idx="31">
                  <c:v>102.58864489795923</c:v>
                </c:pt>
                <c:pt idx="32">
                  <c:v>79.63822312925166</c:v>
                </c:pt>
                <c:pt idx="33">
                  <c:v>58.30706666666662</c:v>
                </c:pt>
                <c:pt idx="34">
                  <c:v>38.595175510204086</c:v>
                </c:pt>
                <c:pt idx="35">
                  <c:v>20.5025496598639</c:v>
                </c:pt>
                <c:pt idx="36">
                  <c:v>4.029189115646251</c:v>
                </c:pt>
                <c:pt idx="37">
                  <c:v>-10.824906122448981</c:v>
                </c:pt>
                <c:pt idx="38">
                  <c:v>-24.05973605442183</c:v>
                </c:pt>
                <c:pt idx="39">
                  <c:v>-35.675300680272045</c:v>
                </c:pt>
                <c:pt idx="40">
                  <c:v>-38.885600000000004</c:v>
                </c:pt>
              </c:numCache>
            </c:numRef>
          </c:yVal>
          <c:smooth val="0"/>
        </c:ser>
        <c:ser>
          <c:idx val="4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22'!$D$5:$D$45</c:f>
              <c:numCache>
                <c:ptCount val="41"/>
                <c:pt idx="0">
                  <c:v>598.24</c:v>
                </c:pt>
                <c:pt idx="1">
                  <c:v>584.2841381879132</c:v>
                </c:pt>
                <c:pt idx="2">
                  <c:v>570.3282763758264</c:v>
                </c:pt>
                <c:pt idx="3">
                  <c:v>556.3724145637395</c:v>
                </c:pt>
                <c:pt idx="4">
                  <c:v>542.4165527516528</c:v>
                </c:pt>
                <c:pt idx="5">
                  <c:v>528.4606909395661</c:v>
                </c:pt>
                <c:pt idx="6">
                  <c:v>158.79527215859574</c:v>
                </c:pt>
                <c:pt idx="7">
                  <c:v>-49.32450061423665</c:v>
                </c:pt>
                <c:pt idx="8">
                  <c:v>-189.45073307465273</c:v>
                </c:pt>
                <c:pt idx="9">
                  <c:v>-294.58788426085823</c:v>
                </c:pt>
                <c:pt idx="10">
                  <c:v>-379.35454155167116</c:v>
                </c:pt>
                <c:pt idx="11">
                  <c:v>-454.0661200811116</c:v>
                </c:pt>
                <c:pt idx="12">
                  <c:v>-528.7776986105521</c:v>
                </c:pt>
                <c:pt idx="13">
                  <c:v>-603.4892771399924</c:v>
                </c:pt>
                <c:pt idx="14">
                  <c:v>-678.2008556694327</c:v>
                </c:pt>
                <c:pt idx="15">
                  <c:v>-752.9124341988731</c:v>
                </c:pt>
                <c:pt idx="16">
                  <c:v>-827.6240127283133</c:v>
                </c:pt>
                <c:pt idx="17">
                  <c:v>-902.3355912577539</c:v>
                </c:pt>
                <c:pt idx="18">
                  <c:v>-977.0471697871942</c:v>
                </c:pt>
                <c:pt idx="19">
                  <c:v>-1051.7587483166344</c:v>
                </c:pt>
                <c:pt idx="20">
                  <c:v>-1126.4703268460748</c:v>
                </c:pt>
                <c:pt idx="21">
                  <c:v>-1228.325637898692</c:v>
                </c:pt>
                <c:pt idx="22">
                  <c:v>-1325.7361130987367</c:v>
                </c:pt>
                <c:pt idx="23">
                  <c:v>-1419.4211912420908</c:v>
                </c:pt>
                <c:pt idx="24">
                  <c:v>-1509.9529952980354</c:v>
                </c:pt>
                <c:pt idx="25">
                  <c:v>-1597.7922025635291</c:v>
                </c:pt>
                <c:pt idx="26">
                  <c:v>-1683.313920623777</c:v>
                </c:pt>
                <c:pt idx="27">
                  <c:v>-1766.8266736502476</c:v>
                </c:pt>
                <c:pt idx="28">
                  <c:v>-1848.5865482592267</c:v>
                </c:pt>
                <c:pt idx="29">
                  <c:v>-1928.8078799634718</c:v>
                </c:pt>
                <c:pt idx="30">
                  <c:v>-2007.6714285714284</c:v>
                </c:pt>
                <c:pt idx="31">
                  <c:v>-2100.6588571428574</c:v>
                </c:pt>
                <c:pt idx="32">
                  <c:v>-2186.0897142857143</c:v>
                </c:pt>
                <c:pt idx="33">
                  <c:v>-2263.9640000000004</c:v>
                </c:pt>
                <c:pt idx="34">
                  <c:v>-2334.2817142857143</c:v>
                </c:pt>
                <c:pt idx="35">
                  <c:v>-2397.042857142857</c:v>
                </c:pt>
                <c:pt idx="36">
                  <c:v>-2452.2474285714284</c:v>
                </c:pt>
                <c:pt idx="37">
                  <c:v>-2499.895428571429</c:v>
                </c:pt>
                <c:pt idx="38">
                  <c:v>-2539.986857142857</c:v>
                </c:pt>
                <c:pt idx="39">
                  <c:v>-2572.521714285714</c:v>
                </c:pt>
                <c:pt idx="40">
                  <c:v>-2581.84</c:v>
                </c:pt>
              </c:numCache>
            </c:numRef>
          </c:xVal>
          <c:yVal>
            <c:numRef>
              <c:f>'Es 22'!$E$5:$E$45</c:f>
              <c:numCache>
                <c:ptCount val="41"/>
                <c:pt idx="0">
                  <c:v>38.885600000000004</c:v>
                </c:pt>
                <c:pt idx="1">
                  <c:v>34.72911331473293</c:v>
                </c:pt>
                <c:pt idx="2">
                  <c:v>30.633170346183768</c:v>
                </c:pt>
                <c:pt idx="3">
                  <c:v>26.597771094352517</c:v>
                </c:pt>
                <c:pt idx="4">
                  <c:v>22.622915559239182</c:v>
                </c:pt>
                <c:pt idx="5">
                  <c:v>18.7086037408438</c:v>
                </c:pt>
                <c:pt idx="6">
                  <c:v>-77.83115707221845</c:v>
                </c:pt>
                <c:pt idx="7">
                  <c:v>-132.05067533047162</c:v>
                </c:pt>
                <c:pt idx="8">
                  <c:v>-168.2734985148034</c:v>
                </c:pt>
                <c:pt idx="9">
                  <c:v>-195.08078597514734</c:v>
                </c:pt>
                <c:pt idx="10">
                  <c:v>-216.273370429996</c:v>
                </c:pt>
                <c:pt idx="11">
                  <c:v>-232.4824497478585</c:v>
                </c:pt>
                <c:pt idx="12">
                  <c:v>-246.9564008098612</c:v>
                </c:pt>
                <c:pt idx="13">
                  <c:v>-259.6952236160041</c:v>
                </c:pt>
                <c:pt idx="14">
                  <c:v>-270.6989181662872</c:v>
                </c:pt>
                <c:pt idx="15">
                  <c:v>-279.9674844607106</c:v>
                </c:pt>
                <c:pt idx="16">
                  <c:v>-287.5009224992741</c:v>
                </c:pt>
                <c:pt idx="17">
                  <c:v>-293.2992322819779</c:v>
                </c:pt>
                <c:pt idx="18">
                  <c:v>-297.3624138088219</c:v>
                </c:pt>
                <c:pt idx="19">
                  <c:v>-299.690467079806</c:v>
                </c:pt>
                <c:pt idx="20">
                  <c:v>-300.2833920949305</c:v>
                </c:pt>
                <c:pt idx="21">
                  <c:v>-289.30557068363214</c:v>
                </c:pt>
                <c:pt idx="22">
                  <c:v>-278.25408581702413</c:v>
                </c:pt>
                <c:pt idx="23">
                  <c:v>-266.94188340817686</c:v>
                </c:pt>
                <c:pt idx="24">
                  <c:v>-255.22021148507764</c:v>
                </c:pt>
                <c:pt idx="25">
                  <c:v>-242.9692939505169</c:v>
                </c:pt>
                <c:pt idx="26">
                  <c:v>-230.09160283234158</c:v>
                </c:pt>
                <c:pt idx="27">
                  <c:v>-216.50692184596969</c:v>
                </c:pt>
                <c:pt idx="28">
                  <c:v>-202.14866847116699</c:v>
                </c:pt>
                <c:pt idx="29">
                  <c:v>-186.96111547461646</c:v>
                </c:pt>
                <c:pt idx="30">
                  <c:v>-170.89726530612242</c:v>
                </c:pt>
                <c:pt idx="31">
                  <c:v>-150.00224489795923</c:v>
                </c:pt>
                <c:pt idx="32">
                  <c:v>-130.72648979591833</c:v>
                </c:pt>
                <c:pt idx="33">
                  <c:v>-113.06999999999996</c:v>
                </c:pt>
                <c:pt idx="34">
                  <c:v>-97.0327755102041</c:v>
                </c:pt>
                <c:pt idx="35">
                  <c:v>-82.61481632653056</c:v>
                </c:pt>
                <c:pt idx="36">
                  <c:v>-69.81612244897958</c:v>
                </c:pt>
                <c:pt idx="37">
                  <c:v>-58.636693877551025</c:v>
                </c:pt>
                <c:pt idx="38">
                  <c:v>-49.07653061224485</c:v>
                </c:pt>
                <c:pt idx="39">
                  <c:v>-41.1356326530613</c:v>
                </c:pt>
                <c:pt idx="40">
                  <c:v>-38.885600000000004</c:v>
                </c:pt>
              </c:numCache>
            </c:numRef>
          </c:yVal>
          <c:smooth val="0"/>
        </c:ser>
        <c:axId val="21724695"/>
        <c:axId val="61304528"/>
      </c:scatterChart>
      <c:valAx>
        <c:axId val="21724695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crossAx val="61304528"/>
        <c:crosses val="autoZero"/>
        <c:crossBetween val="midCat"/>
        <c:dispUnits/>
      </c:valAx>
      <c:valAx>
        <c:axId val="61304528"/>
        <c:scaling>
          <c:orientation val="minMax"/>
          <c:max val="300"/>
          <c:min val="-300"/>
        </c:scaling>
        <c:axPos val="r"/>
        <c:delete val="0"/>
        <c:numFmt formatCode="0" sourceLinked="0"/>
        <c:majorTickMark val="out"/>
        <c:minorTickMark val="none"/>
        <c:tickLblPos val="nextTo"/>
        <c:crossAx val="217246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('Es 22'!$A$5,'Es 22'!$A$10,'Es 22'!$A$15,'Es 22'!$A$25,'Es 22'!$A$35,'Es 22'!$A$45)</c:f>
              <c:numCache>
                <c:ptCount val="6"/>
                <c:pt idx="0">
                  <c:v>598.24</c:v>
                </c:pt>
                <c:pt idx="1">
                  <c:v>528.4606909395661</c:v>
                </c:pt>
                <c:pt idx="2">
                  <c:v>-80.23454155167119</c:v>
                </c:pt>
                <c:pt idx="3">
                  <c:v>-827.3503268460748</c:v>
                </c:pt>
                <c:pt idx="4">
                  <c:v>-1876.778095238095</c:v>
                </c:pt>
                <c:pt idx="5">
                  <c:v>-2581.84</c:v>
                </c:pt>
              </c:numCache>
            </c:numRef>
          </c:xVal>
          <c:yVal>
            <c:numRef>
              <c:f>('Es 22'!$B$5,'Es 22'!$B$10,'Es 22'!$B$15,'Es 22'!$B$25,'Es 22'!$B$35,'Es 22'!$B$45)</c:f>
              <c:numCache>
                <c:ptCount val="6"/>
                <c:pt idx="0">
                  <c:v>38.885600000000004</c:v>
                </c:pt>
                <c:pt idx="1">
                  <c:v>59.06259625915622</c:v>
                </c:pt>
                <c:pt idx="2">
                  <c:v>216.27337042999602</c:v>
                </c:pt>
                <c:pt idx="3">
                  <c:v>300.2833920949305</c:v>
                </c:pt>
                <c:pt idx="4">
                  <c:v>127.15833197278911</c:v>
                </c:pt>
                <c:pt idx="5">
                  <c:v>-38.885600000000004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('Es 22'!$D$10,'Es 22'!$D$15,'Es 22'!$D$25,'Es 22'!$D$35)</c:f>
              <c:numCache>
                <c:ptCount val="4"/>
                <c:pt idx="0">
                  <c:v>528.4606909395661</c:v>
                </c:pt>
                <c:pt idx="1">
                  <c:v>-379.35454155167116</c:v>
                </c:pt>
                <c:pt idx="2">
                  <c:v>-1126.4703268460748</c:v>
                </c:pt>
                <c:pt idx="3">
                  <c:v>-2007.6714285714284</c:v>
                </c:pt>
              </c:numCache>
            </c:numRef>
          </c:xVal>
          <c:yVal>
            <c:numRef>
              <c:f>('Es 22'!$E$10,'Es 22'!$E$15,'Es 22'!$E$25,'Es 22'!$E$35)</c:f>
              <c:numCache>
                <c:ptCount val="4"/>
                <c:pt idx="0">
                  <c:v>18.7086037408438</c:v>
                </c:pt>
                <c:pt idx="1">
                  <c:v>-216.273370429996</c:v>
                </c:pt>
                <c:pt idx="2">
                  <c:v>-300.2833920949305</c:v>
                </c:pt>
                <c:pt idx="3">
                  <c:v>-170.89726530612242</c:v>
                </c:pt>
              </c:numCache>
            </c:numRef>
          </c:yVal>
          <c:smooth val="0"/>
        </c:ser>
        <c:ser>
          <c:idx val="3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22'!$A$5:$A$45</c:f>
              <c:numCache>
                <c:ptCount val="41"/>
                <c:pt idx="0">
                  <c:v>598.24</c:v>
                </c:pt>
                <c:pt idx="1">
                  <c:v>584.2841381879132</c:v>
                </c:pt>
                <c:pt idx="2">
                  <c:v>570.3282763758264</c:v>
                </c:pt>
                <c:pt idx="3">
                  <c:v>556.3724145637395</c:v>
                </c:pt>
                <c:pt idx="4">
                  <c:v>542.4165527516528</c:v>
                </c:pt>
                <c:pt idx="5">
                  <c:v>528.4606909395661</c:v>
                </c:pt>
                <c:pt idx="6">
                  <c:v>293.8602210716849</c:v>
                </c:pt>
                <c:pt idx="7">
                  <c:v>156.18713880868648</c:v>
                </c:pt>
                <c:pt idx="8">
                  <c:v>59.3101807331379</c:v>
                </c:pt>
                <c:pt idx="9">
                  <c:v>-16.57332857788442</c:v>
                </c:pt>
                <c:pt idx="10">
                  <c:v>-80.23454155167119</c:v>
                </c:pt>
                <c:pt idx="11">
                  <c:v>-154.94612008111153</c:v>
                </c:pt>
                <c:pt idx="12">
                  <c:v>-229.6576986105519</c:v>
                </c:pt>
                <c:pt idx="13">
                  <c:v>-304.3692771399923</c:v>
                </c:pt>
                <c:pt idx="14">
                  <c:v>-379.08085566943265</c:v>
                </c:pt>
                <c:pt idx="15">
                  <c:v>-453.7924341988731</c:v>
                </c:pt>
                <c:pt idx="16">
                  <c:v>-528.5040127283135</c:v>
                </c:pt>
                <c:pt idx="17">
                  <c:v>-603.2155912577538</c:v>
                </c:pt>
                <c:pt idx="18">
                  <c:v>-677.9271697871942</c:v>
                </c:pt>
                <c:pt idx="19">
                  <c:v>-752.6387483166343</c:v>
                </c:pt>
                <c:pt idx="20">
                  <c:v>-827.3503268460748</c:v>
                </c:pt>
                <c:pt idx="21">
                  <c:v>-955.18510515208</c:v>
                </c:pt>
                <c:pt idx="22">
                  <c:v>-1075.6118237037972</c:v>
                </c:pt>
                <c:pt idx="23">
                  <c:v>-1189.8295471610304</c:v>
                </c:pt>
                <c:pt idx="24">
                  <c:v>-1298.7918138059147</c:v>
                </c:pt>
                <c:pt idx="25">
                  <c:v>-1403.2664191333809</c:v>
                </c:pt>
                <c:pt idx="26">
                  <c:v>-1503.8785424521036</c:v>
                </c:pt>
                <c:pt idx="27">
                  <c:v>-1601.1423907145306</c:v>
                </c:pt>
                <c:pt idx="28">
                  <c:v>-1695.484774947806</c:v>
                </c:pt>
                <c:pt idx="29">
                  <c:v>-1787.2629210065243</c:v>
                </c:pt>
                <c:pt idx="30">
                  <c:v>-1876.778095238095</c:v>
                </c:pt>
                <c:pt idx="31">
                  <c:v>-1983.898857142857</c:v>
                </c:pt>
                <c:pt idx="32">
                  <c:v>-2083.4630476190478</c:v>
                </c:pt>
                <c:pt idx="33">
                  <c:v>-2175.470666666667</c:v>
                </c:pt>
                <c:pt idx="34">
                  <c:v>-2259.9217142857146</c:v>
                </c:pt>
                <c:pt idx="35">
                  <c:v>-2336.81619047619</c:v>
                </c:pt>
                <c:pt idx="36">
                  <c:v>-2406.154095238095</c:v>
                </c:pt>
                <c:pt idx="37">
                  <c:v>-2467.935428571429</c:v>
                </c:pt>
                <c:pt idx="38">
                  <c:v>-2522.1601904761906</c:v>
                </c:pt>
                <c:pt idx="39">
                  <c:v>-2568.828380952381</c:v>
                </c:pt>
                <c:pt idx="40">
                  <c:v>-2581.84</c:v>
                </c:pt>
              </c:numCache>
            </c:numRef>
          </c:xVal>
          <c:yVal>
            <c:numRef>
              <c:f>'Es 22'!$B$5:$B$45</c:f>
              <c:numCache>
                <c:ptCount val="41"/>
                <c:pt idx="0">
                  <c:v>38.885600000000004</c:v>
                </c:pt>
                <c:pt idx="1">
                  <c:v>43.04208668526708</c:v>
                </c:pt>
                <c:pt idx="2">
                  <c:v>47.13802965381625</c:v>
                </c:pt>
                <c:pt idx="3">
                  <c:v>51.1734289056475</c:v>
                </c:pt>
                <c:pt idx="4">
                  <c:v>55.148284440760825</c:v>
                </c:pt>
                <c:pt idx="5">
                  <c:v>59.06259625915622</c:v>
                </c:pt>
                <c:pt idx="6">
                  <c:v>120.48547035481526</c:v>
                </c:pt>
                <c:pt idx="7">
                  <c:v>156.38884908051162</c:v>
                </c:pt>
                <c:pt idx="8">
                  <c:v>181.36686092477788</c:v>
                </c:pt>
                <c:pt idx="9">
                  <c:v>200.56820149757417</c:v>
                </c:pt>
                <c:pt idx="10">
                  <c:v>216.27337042999602</c:v>
                </c:pt>
                <c:pt idx="11">
                  <c:v>232.4824497478585</c:v>
                </c:pt>
                <c:pt idx="12">
                  <c:v>246.9564008098612</c:v>
                </c:pt>
                <c:pt idx="13">
                  <c:v>259.6952236160041</c:v>
                </c:pt>
                <c:pt idx="14">
                  <c:v>270.6989181662872</c:v>
                </c:pt>
                <c:pt idx="15">
                  <c:v>279.9674844607106</c:v>
                </c:pt>
                <c:pt idx="16">
                  <c:v>287.5009224992741</c:v>
                </c:pt>
                <c:pt idx="17">
                  <c:v>293.2992322819779</c:v>
                </c:pt>
                <c:pt idx="18">
                  <c:v>297.3624138088219</c:v>
                </c:pt>
                <c:pt idx="19">
                  <c:v>299.690467079806</c:v>
                </c:pt>
                <c:pt idx="20">
                  <c:v>300.2833920949305</c:v>
                </c:pt>
                <c:pt idx="21">
                  <c:v>282.5509091977513</c:v>
                </c:pt>
                <c:pt idx="22">
                  <c:v>265.5152010597083</c:v>
                </c:pt>
                <c:pt idx="23">
                  <c:v>248.86451086925248</c:v>
                </c:pt>
                <c:pt idx="24">
                  <c:v>232.35091867302899</c:v>
                </c:pt>
                <c:pt idx="25">
                  <c:v>215.77479764235548</c:v>
                </c:pt>
                <c:pt idx="26">
                  <c:v>198.97360115697666</c:v>
                </c:pt>
                <c:pt idx="27">
                  <c:v>181.81363540925597</c:v>
                </c:pt>
                <c:pt idx="28">
                  <c:v>164.18392953213632</c:v>
                </c:pt>
                <c:pt idx="29">
                  <c:v>145.99160480342283</c:v>
                </c:pt>
                <c:pt idx="30">
                  <c:v>127.15833197278911</c:v>
                </c:pt>
                <c:pt idx="31">
                  <c:v>102.58864489795923</c:v>
                </c:pt>
                <c:pt idx="32">
                  <c:v>79.63822312925166</c:v>
                </c:pt>
                <c:pt idx="33">
                  <c:v>58.30706666666662</c:v>
                </c:pt>
                <c:pt idx="34">
                  <c:v>38.595175510204086</c:v>
                </c:pt>
                <c:pt idx="35">
                  <c:v>20.5025496598639</c:v>
                </c:pt>
                <c:pt idx="36">
                  <c:v>4.029189115646251</c:v>
                </c:pt>
                <c:pt idx="37">
                  <c:v>-10.824906122448981</c:v>
                </c:pt>
                <c:pt idx="38">
                  <c:v>-24.05973605442183</c:v>
                </c:pt>
                <c:pt idx="39">
                  <c:v>-35.675300680272045</c:v>
                </c:pt>
                <c:pt idx="40">
                  <c:v>-38.885600000000004</c:v>
                </c:pt>
              </c:numCache>
            </c:numRef>
          </c:yVal>
          <c:smooth val="0"/>
        </c:ser>
        <c:ser>
          <c:idx val="4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22'!$D$5:$D$45</c:f>
              <c:numCache>
                <c:ptCount val="41"/>
                <c:pt idx="0">
                  <c:v>598.24</c:v>
                </c:pt>
                <c:pt idx="1">
                  <c:v>584.2841381879132</c:v>
                </c:pt>
                <c:pt idx="2">
                  <c:v>570.3282763758264</c:v>
                </c:pt>
                <c:pt idx="3">
                  <c:v>556.3724145637395</c:v>
                </c:pt>
                <c:pt idx="4">
                  <c:v>542.4165527516528</c:v>
                </c:pt>
                <c:pt idx="5">
                  <c:v>528.4606909395661</c:v>
                </c:pt>
                <c:pt idx="6">
                  <c:v>158.79527215859574</c:v>
                </c:pt>
                <c:pt idx="7">
                  <c:v>-49.32450061423665</c:v>
                </c:pt>
                <c:pt idx="8">
                  <c:v>-189.45073307465273</c:v>
                </c:pt>
                <c:pt idx="9">
                  <c:v>-294.58788426085823</c:v>
                </c:pt>
                <c:pt idx="10">
                  <c:v>-379.35454155167116</c:v>
                </c:pt>
                <c:pt idx="11">
                  <c:v>-454.0661200811116</c:v>
                </c:pt>
                <c:pt idx="12">
                  <c:v>-528.7776986105521</c:v>
                </c:pt>
                <c:pt idx="13">
                  <c:v>-603.4892771399924</c:v>
                </c:pt>
                <c:pt idx="14">
                  <c:v>-678.2008556694327</c:v>
                </c:pt>
                <c:pt idx="15">
                  <c:v>-752.9124341988731</c:v>
                </c:pt>
                <c:pt idx="16">
                  <c:v>-827.6240127283133</c:v>
                </c:pt>
                <c:pt idx="17">
                  <c:v>-902.3355912577539</c:v>
                </c:pt>
                <c:pt idx="18">
                  <c:v>-977.0471697871942</c:v>
                </c:pt>
                <c:pt idx="19">
                  <c:v>-1051.7587483166344</c:v>
                </c:pt>
                <c:pt idx="20">
                  <c:v>-1126.4703268460748</c:v>
                </c:pt>
                <c:pt idx="21">
                  <c:v>-1228.325637898692</c:v>
                </c:pt>
                <c:pt idx="22">
                  <c:v>-1325.7361130987367</c:v>
                </c:pt>
                <c:pt idx="23">
                  <c:v>-1419.4211912420908</c:v>
                </c:pt>
                <c:pt idx="24">
                  <c:v>-1509.9529952980354</c:v>
                </c:pt>
                <c:pt idx="25">
                  <c:v>-1597.7922025635291</c:v>
                </c:pt>
                <c:pt idx="26">
                  <c:v>-1683.313920623777</c:v>
                </c:pt>
                <c:pt idx="27">
                  <c:v>-1766.8266736502476</c:v>
                </c:pt>
                <c:pt idx="28">
                  <c:v>-1848.5865482592267</c:v>
                </c:pt>
                <c:pt idx="29">
                  <c:v>-1928.8078799634718</c:v>
                </c:pt>
                <c:pt idx="30">
                  <c:v>-2007.6714285714284</c:v>
                </c:pt>
                <c:pt idx="31">
                  <c:v>-2100.6588571428574</c:v>
                </c:pt>
                <c:pt idx="32">
                  <c:v>-2186.0897142857143</c:v>
                </c:pt>
                <c:pt idx="33">
                  <c:v>-2263.9640000000004</c:v>
                </c:pt>
                <c:pt idx="34">
                  <c:v>-2334.2817142857143</c:v>
                </c:pt>
                <c:pt idx="35">
                  <c:v>-2397.042857142857</c:v>
                </c:pt>
                <c:pt idx="36">
                  <c:v>-2452.2474285714284</c:v>
                </c:pt>
                <c:pt idx="37">
                  <c:v>-2499.895428571429</c:v>
                </c:pt>
                <c:pt idx="38">
                  <c:v>-2539.986857142857</c:v>
                </c:pt>
                <c:pt idx="39">
                  <c:v>-2572.521714285714</c:v>
                </c:pt>
                <c:pt idx="40">
                  <c:v>-2581.84</c:v>
                </c:pt>
              </c:numCache>
            </c:numRef>
          </c:xVal>
          <c:yVal>
            <c:numRef>
              <c:f>'Es 22'!$E$5:$E$45</c:f>
              <c:numCache>
                <c:ptCount val="41"/>
                <c:pt idx="0">
                  <c:v>38.885600000000004</c:v>
                </c:pt>
                <c:pt idx="1">
                  <c:v>34.72911331473293</c:v>
                </c:pt>
                <c:pt idx="2">
                  <c:v>30.633170346183768</c:v>
                </c:pt>
                <c:pt idx="3">
                  <c:v>26.597771094352517</c:v>
                </c:pt>
                <c:pt idx="4">
                  <c:v>22.622915559239182</c:v>
                </c:pt>
                <c:pt idx="5">
                  <c:v>18.7086037408438</c:v>
                </c:pt>
                <c:pt idx="6">
                  <c:v>-77.83115707221845</c:v>
                </c:pt>
                <c:pt idx="7">
                  <c:v>-132.05067533047162</c:v>
                </c:pt>
                <c:pt idx="8">
                  <c:v>-168.2734985148034</c:v>
                </c:pt>
                <c:pt idx="9">
                  <c:v>-195.08078597514734</c:v>
                </c:pt>
                <c:pt idx="10">
                  <c:v>-216.273370429996</c:v>
                </c:pt>
                <c:pt idx="11">
                  <c:v>-232.4824497478585</c:v>
                </c:pt>
                <c:pt idx="12">
                  <c:v>-246.9564008098612</c:v>
                </c:pt>
                <c:pt idx="13">
                  <c:v>-259.6952236160041</c:v>
                </c:pt>
                <c:pt idx="14">
                  <c:v>-270.6989181662872</c:v>
                </c:pt>
                <c:pt idx="15">
                  <c:v>-279.9674844607106</c:v>
                </c:pt>
                <c:pt idx="16">
                  <c:v>-287.5009224992741</c:v>
                </c:pt>
                <c:pt idx="17">
                  <c:v>-293.2992322819779</c:v>
                </c:pt>
                <c:pt idx="18">
                  <c:v>-297.3624138088219</c:v>
                </c:pt>
                <c:pt idx="19">
                  <c:v>-299.690467079806</c:v>
                </c:pt>
                <c:pt idx="20">
                  <c:v>-300.2833920949305</c:v>
                </c:pt>
                <c:pt idx="21">
                  <c:v>-289.30557068363214</c:v>
                </c:pt>
                <c:pt idx="22">
                  <c:v>-278.25408581702413</c:v>
                </c:pt>
                <c:pt idx="23">
                  <c:v>-266.94188340817686</c:v>
                </c:pt>
                <c:pt idx="24">
                  <c:v>-255.22021148507764</c:v>
                </c:pt>
                <c:pt idx="25">
                  <c:v>-242.9692939505169</c:v>
                </c:pt>
                <c:pt idx="26">
                  <c:v>-230.09160283234158</c:v>
                </c:pt>
                <c:pt idx="27">
                  <c:v>-216.50692184596969</c:v>
                </c:pt>
                <c:pt idx="28">
                  <c:v>-202.14866847116699</c:v>
                </c:pt>
                <c:pt idx="29">
                  <c:v>-186.96111547461646</c:v>
                </c:pt>
                <c:pt idx="30">
                  <c:v>-170.89726530612242</c:v>
                </c:pt>
                <c:pt idx="31">
                  <c:v>-150.00224489795923</c:v>
                </c:pt>
                <c:pt idx="32">
                  <c:v>-130.72648979591833</c:v>
                </c:pt>
                <c:pt idx="33">
                  <c:v>-113.06999999999996</c:v>
                </c:pt>
                <c:pt idx="34">
                  <c:v>-97.0327755102041</c:v>
                </c:pt>
                <c:pt idx="35">
                  <c:v>-82.61481632653056</c:v>
                </c:pt>
                <c:pt idx="36">
                  <c:v>-69.81612244897958</c:v>
                </c:pt>
                <c:pt idx="37">
                  <c:v>-58.636693877551025</c:v>
                </c:pt>
                <c:pt idx="38">
                  <c:v>-49.07653061224485</c:v>
                </c:pt>
                <c:pt idx="39">
                  <c:v>-41.1356326530613</c:v>
                </c:pt>
                <c:pt idx="40">
                  <c:v>-38.885600000000004</c:v>
                </c:pt>
              </c:numCache>
            </c:numRef>
          </c:yVal>
          <c:smooth val="0"/>
        </c:ser>
        <c:axId val="14869841"/>
        <c:axId val="66719706"/>
      </c:scatterChart>
      <c:valAx>
        <c:axId val="14869841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6719706"/>
        <c:crosses val="autoZero"/>
        <c:crossBetween val="midCat"/>
        <c:dispUnits/>
      </c:valAx>
      <c:valAx>
        <c:axId val="66719706"/>
        <c:scaling>
          <c:orientation val="minMax"/>
          <c:max val="300"/>
          <c:min val="-300"/>
        </c:scaling>
        <c:axPos val="r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48698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t="s">
        <v>34</v>
      </c>
    </row>
    <row r="3" ht="12.75">
      <c r="A3" t="s">
        <v>231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3" sqref="A3"/>
    </sheetView>
  </sheetViews>
  <sheetFormatPr defaultColWidth="9.140625" defaultRowHeight="12.75"/>
  <cols>
    <col min="1" max="3" width="9.140625" style="2" customWidth="1"/>
    <col min="4" max="4" width="9.00390625" style="2" customWidth="1"/>
    <col min="5" max="16384" width="9.140625" style="2" customWidth="1"/>
  </cols>
  <sheetData>
    <row r="1" ht="12.75">
      <c r="A1" s="1" t="s">
        <v>70</v>
      </c>
    </row>
    <row r="2" ht="12.75">
      <c r="A2" s="1" t="s">
        <v>71</v>
      </c>
    </row>
    <row r="4" spans="1:9" ht="12.75">
      <c r="A4" s="2" t="s">
        <v>2</v>
      </c>
      <c r="B4" s="2">
        <v>30</v>
      </c>
      <c r="C4" s="2">
        <f>B4/100</f>
        <v>0.3</v>
      </c>
      <c r="E4" s="2" t="s">
        <v>23</v>
      </c>
      <c r="F4" s="2">
        <v>800</v>
      </c>
      <c r="G4" s="9" t="s">
        <v>24</v>
      </c>
      <c r="H4" s="2" t="s">
        <v>33</v>
      </c>
      <c r="I4" s="2">
        <v>1</v>
      </c>
    </row>
    <row r="5" spans="1:9" ht="12.75">
      <c r="A5" s="2" t="s">
        <v>6</v>
      </c>
      <c r="B5" s="2">
        <v>130</v>
      </c>
      <c r="C5" s="2">
        <f>B5/100</f>
        <v>1.3</v>
      </c>
      <c r="E5" s="2" t="s">
        <v>35</v>
      </c>
      <c r="F5" s="2">
        <v>-2000</v>
      </c>
      <c r="G5" s="9" t="s">
        <v>30</v>
      </c>
      <c r="H5" s="2" t="s">
        <v>32</v>
      </c>
      <c r="I5" s="2">
        <f>-3*F8</f>
        <v>-0.75</v>
      </c>
    </row>
    <row r="6" spans="1:9" ht="12.75">
      <c r="A6" s="2" t="s">
        <v>8</v>
      </c>
      <c r="B6" s="2">
        <v>4</v>
      </c>
      <c r="C6" s="2">
        <f>B6/100</f>
        <v>0.04</v>
      </c>
      <c r="H6" s="2" t="s">
        <v>31</v>
      </c>
      <c r="I6" s="2">
        <f>6*B10/C4*(C8*(C7-F8)+C9*(C6-F8))</f>
        <v>0.24000000000000002</v>
      </c>
    </row>
    <row r="7" spans="1:9" ht="12.75">
      <c r="A7" s="2" t="s">
        <v>13</v>
      </c>
      <c r="B7" s="2">
        <f>B5-B6</f>
        <v>126</v>
      </c>
      <c r="C7" s="2">
        <f>B7/100</f>
        <v>1.26</v>
      </c>
      <c r="E7" s="2" t="s">
        <v>100</v>
      </c>
      <c r="F7" s="5">
        <f>F4/F5</f>
        <v>-0.4</v>
      </c>
      <c r="H7" s="2" t="s">
        <v>56</v>
      </c>
      <c r="I7" s="2">
        <f>-6*B10/C4*(C8*C7*(C7-F8)+C9*C6*(C6-F8))</f>
        <v>-0.37926000000000004</v>
      </c>
    </row>
    <row r="8" spans="1:6" ht="12.75">
      <c r="A8" s="2" t="s">
        <v>10</v>
      </c>
      <c r="B8" s="2">
        <v>10</v>
      </c>
      <c r="C8" s="2">
        <f>B8/10000</f>
        <v>0.001</v>
      </c>
      <c r="E8" s="2" t="s">
        <v>55</v>
      </c>
      <c r="F8" s="5">
        <f>F7+C5/2</f>
        <v>0.25</v>
      </c>
    </row>
    <row r="9" spans="1:3" ht="12.75">
      <c r="A9" s="2" t="s">
        <v>12</v>
      </c>
      <c r="B9" s="2">
        <v>10</v>
      </c>
      <c r="C9" s="2">
        <f>B9/10000</f>
        <v>0.001</v>
      </c>
    </row>
    <row r="10" spans="1:2" ht="12.75">
      <c r="A10" s="2" t="s">
        <v>21</v>
      </c>
      <c r="B10" s="2">
        <v>15</v>
      </c>
    </row>
    <row r="12" spans="1:10" ht="12.75">
      <c r="A12" s="2">
        <f>A14^3</f>
        <v>0</v>
      </c>
      <c r="B12" s="2">
        <f>$I4*A12</f>
        <v>0</v>
      </c>
      <c r="C12" s="2">
        <f>C14^3</f>
        <v>2.1970000000000005</v>
      </c>
      <c r="D12" s="2">
        <f>$I4*C12</f>
        <v>2.1970000000000005</v>
      </c>
      <c r="E12" s="2">
        <f>E14^3</f>
        <v>0.27462500000000006</v>
      </c>
      <c r="F12" s="2">
        <f>$I4*E12</f>
        <v>0.27462500000000006</v>
      </c>
      <c r="G12" s="2">
        <f>G14^3</f>
        <v>0.5120000000000001</v>
      </c>
      <c r="H12" s="2">
        <f>$I4*G12</f>
        <v>0.5120000000000001</v>
      </c>
      <c r="I12" s="2">
        <f>I14^3</f>
        <v>0.8050318106215759</v>
      </c>
      <c r="J12" s="2">
        <f>$I4*I12</f>
        <v>0.8050318106215759</v>
      </c>
    </row>
    <row r="13" spans="1:10" ht="12.75">
      <c r="A13" s="2">
        <f>A14^2</f>
        <v>0</v>
      </c>
      <c r="B13" s="2">
        <f>$I5*A13</f>
        <v>0</v>
      </c>
      <c r="C13" s="2">
        <f>C14^2</f>
        <v>1.6900000000000002</v>
      </c>
      <c r="D13" s="2">
        <f>$I5*C13</f>
        <v>-1.2675</v>
      </c>
      <c r="E13" s="2">
        <f>E14^2</f>
        <v>0.42250000000000004</v>
      </c>
      <c r="F13" s="2">
        <f>$I5*E13</f>
        <v>-0.316875</v>
      </c>
      <c r="G13" s="2">
        <f>G14^2</f>
        <v>0.6400000000000001</v>
      </c>
      <c r="H13" s="2">
        <f>$I5*G13</f>
        <v>-0.4800000000000001</v>
      </c>
      <c r="I13" s="2">
        <f>I14^2</f>
        <v>0.8653836676</v>
      </c>
      <c r="J13" s="2">
        <f>$I5*I13</f>
        <v>-0.6490377507</v>
      </c>
    </row>
    <row r="14" spans="1:10" ht="12.75">
      <c r="A14" s="11">
        <v>0</v>
      </c>
      <c r="B14" s="2">
        <f>$I6*A14</f>
        <v>0</v>
      </c>
      <c r="C14" s="11">
        <v>1.3</v>
      </c>
      <c r="D14" s="2">
        <f>$I6*C14</f>
        <v>0.31200000000000006</v>
      </c>
      <c r="E14" s="11">
        <v>0.65</v>
      </c>
      <c r="F14" s="2">
        <f>$I6*E14</f>
        <v>0.15600000000000003</v>
      </c>
      <c r="G14" s="11">
        <v>0.8</v>
      </c>
      <c r="H14" s="2">
        <f>$I6*G14</f>
        <v>0.19200000000000003</v>
      </c>
      <c r="I14" s="11">
        <v>0.93026</v>
      </c>
      <c r="J14" s="2">
        <f>$I6*I14</f>
        <v>0.2232624</v>
      </c>
    </row>
    <row r="15" spans="2:10" ht="12.75">
      <c r="B15" s="12">
        <f>$I7</f>
        <v>-0.37926000000000004</v>
      </c>
      <c r="D15" s="12">
        <f>$I7</f>
        <v>-0.37926000000000004</v>
      </c>
      <c r="F15" s="12">
        <f>$I7</f>
        <v>-0.37926000000000004</v>
      </c>
      <c r="H15" s="12">
        <f>$I7</f>
        <v>-0.37926000000000004</v>
      </c>
      <c r="J15" s="12">
        <f>$I7</f>
        <v>-0.37926000000000004</v>
      </c>
    </row>
    <row r="16" spans="2:10" ht="12.75">
      <c r="B16" s="8">
        <f>SUM(B12:B15)</f>
        <v>-0.37926000000000004</v>
      </c>
      <c r="D16" s="8">
        <f>SUM(D12:D15)</f>
        <v>0.8622400000000005</v>
      </c>
      <c r="F16" s="8">
        <f>SUM(F12:F15)</f>
        <v>-0.26550999999999997</v>
      </c>
      <c r="H16" s="8">
        <f>SUM(H12:H15)</f>
        <v>-0.15525999999999998</v>
      </c>
      <c r="J16" s="8">
        <f>SUM(J12:J15)</f>
        <v>-3.5400784241801375E-06</v>
      </c>
    </row>
    <row r="18" spans="1:5" ht="12.75">
      <c r="A18" s="2" t="s">
        <v>29</v>
      </c>
      <c r="B18" s="16">
        <f>-C4*I14^2/2-B10*C9*(I14-C6)+B10*C8*(C7-I14)</f>
        <v>-0.13821535013999997</v>
      </c>
      <c r="D18" s="2" t="s">
        <v>57</v>
      </c>
      <c r="E18" s="5">
        <f>B19*(-I14)*1000</f>
        <v>-13.461022947997144</v>
      </c>
    </row>
    <row r="19" spans="1:5" ht="12.75">
      <c r="A19" s="2" t="s">
        <v>58</v>
      </c>
      <c r="B19" s="8">
        <f>F5*1000/B18/1000000000</f>
        <v>0.01447017279899936</v>
      </c>
      <c r="D19" s="2" t="s">
        <v>59</v>
      </c>
      <c r="E19" s="3">
        <f>B10*B19*(C7-I14)*1000</f>
        <v>71.57092168113073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3" sqref="A3"/>
    </sheetView>
  </sheetViews>
  <sheetFormatPr defaultColWidth="9.140625" defaultRowHeight="12.75"/>
  <cols>
    <col min="1" max="3" width="9.140625" style="2" customWidth="1"/>
    <col min="4" max="4" width="9.00390625" style="2" customWidth="1"/>
    <col min="5" max="16384" width="9.140625" style="2" customWidth="1"/>
  </cols>
  <sheetData>
    <row r="1" ht="12.75">
      <c r="A1" s="1" t="s">
        <v>72</v>
      </c>
    </row>
    <row r="2" ht="12.75">
      <c r="A2" s="1" t="s">
        <v>71</v>
      </c>
    </row>
    <row r="4" spans="1:9" ht="12.75">
      <c r="A4" s="2" t="s">
        <v>2</v>
      </c>
      <c r="B4" s="2">
        <v>30</v>
      </c>
      <c r="C4" s="2">
        <f>B4/100</f>
        <v>0.3</v>
      </c>
      <c r="E4" s="2" t="s">
        <v>23</v>
      </c>
      <c r="F4" s="2">
        <v>2000</v>
      </c>
      <c r="G4" s="9" t="s">
        <v>24</v>
      </c>
      <c r="H4" s="2" t="s">
        <v>33</v>
      </c>
      <c r="I4" s="2">
        <v>1</v>
      </c>
    </row>
    <row r="5" spans="1:9" ht="12.75">
      <c r="A5" s="2" t="s">
        <v>6</v>
      </c>
      <c r="B5" s="2">
        <v>130</v>
      </c>
      <c r="C5" s="2">
        <f>B5/100</f>
        <v>1.3</v>
      </c>
      <c r="E5" s="2" t="s">
        <v>35</v>
      </c>
      <c r="F5" s="2">
        <v>-2000</v>
      </c>
      <c r="G5" s="9" t="s">
        <v>30</v>
      </c>
      <c r="H5" s="2" t="s">
        <v>32</v>
      </c>
      <c r="I5" s="2">
        <f>-3*F8</f>
        <v>1.0499999999999998</v>
      </c>
    </row>
    <row r="6" spans="1:9" ht="12.75">
      <c r="A6" s="2" t="s">
        <v>8</v>
      </c>
      <c r="B6" s="2">
        <v>4</v>
      </c>
      <c r="C6" s="2">
        <f>B6/100</f>
        <v>0.04</v>
      </c>
      <c r="H6" s="2" t="s">
        <v>31</v>
      </c>
      <c r="I6" s="2">
        <f>6*B10/C4*(C8*(C7-F8)+C9*(C6-F8))</f>
        <v>0.6</v>
      </c>
    </row>
    <row r="7" spans="1:9" ht="12.75">
      <c r="A7" s="2" t="s">
        <v>13</v>
      </c>
      <c r="B7" s="2">
        <f>B5-B6</f>
        <v>126</v>
      </c>
      <c r="C7" s="2">
        <f>B7/100</f>
        <v>1.26</v>
      </c>
      <c r="E7" s="2" t="s">
        <v>100</v>
      </c>
      <c r="F7" s="5">
        <f>F4/F5</f>
        <v>-1</v>
      </c>
      <c r="H7" s="2" t="s">
        <v>56</v>
      </c>
      <c r="I7" s="2">
        <f>-6*B10/C4*(C8*C7*(C7-F8)+C9*C6*(C6-F8))</f>
        <v>-0.61326</v>
      </c>
    </row>
    <row r="8" spans="1:6" ht="12.75">
      <c r="A8" s="2" t="s">
        <v>10</v>
      </c>
      <c r="B8" s="2">
        <v>10</v>
      </c>
      <c r="C8" s="2">
        <f>B8/10000</f>
        <v>0.001</v>
      </c>
      <c r="E8" s="2" t="s">
        <v>55</v>
      </c>
      <c r="F8" s="5">
        <f>F7+C5/2</f>
        <v>-0.35</v>
      </c>
    </row>
    <row r="9" spans="1:3" ht="12.75">
      <c r="A9" s="2" t="s">
        <v>12</v>
      </c>
      <c r="B9" s="2">
        <v>10</v>
      </c>
      <c r="C9" s="2">
        <f>B9/10000</f>
        <v>0.001</v>
      </c>
    </row>
    <row r="10" spans="1:2" ht="12.75">
      <c r="A10" s="2" t="s">
        <v>21</v>
      </c>
      <c r="B10" s="2">
        <v>15</v>
      </c>
    </row>
    <row r="12" spans="1:10" ht="12.75">
      <c r="A12" s="2">
        <f>A14^3</f>
        <v>0</v>
      </c>
      <c r="B12" s="2">
        <f>$I4*A12</f>
        <v>0</v>
      </c>
      <c r="C12" s="2">
        <f>C14^3</f>
        <v>2.1970000000000005</v>
      </c>
      <c r="D12" s="2">
        <f>$I4*C12</f>
        <v>2.1970000000000005</v>
      </c>
      <c r="E12" s="2">
        <f>E14^3</f>
        <v>0.27462500000000006</v>
      </c>
      <c r="F12" s="2">
        <f>$I4*E12</f>
        <v>0.27462500000000006</v>
      </c>
      <c r="G12" s="2">
        <f>G14^3</f>
        <v>0.125</v>
      </c>
      <c r="H12" s="2">
        <f>$I4*G12</f>
        <v>0.125</v>
      </c>
      <c r="I12" s="2">
        <f>I14^3</f>
        <v>0.10250323200000001</v>
      </c>
      <c r="J12" s="2">
        <f>$I4*I12</f>
        <v>0.10250323200000001</v>
      </c>
    </row>
    <row r="13" spans="1:10" ht="12.75">
      <c r="A13" s="2">
        <f>A14^2</f>
        <v>0</v>
      </c>
      <c r="B13" s="2">
        <f>$I5*A13</f>
        <v>0</v>
      </c>
      <c r="C13" s="2">
        <f>C14^2</f>
        <v>1.6900000000000002</v>
      </c>
      <c r="D13" s="2">
        <f>$I5*C13</f>
        <v>1.7745</v>
      </c>
      <c r="E13" s="2">
        <f>E14^2</f>
        <v>0.42250000000000004</v>
      </c>
      <c r="F13" s="2">
        <f>$I5*E13</f>
        <v>0.443625</v>
      </c>
      <c r="G13" s="2">
        <f>G14^2</f>
        <v>0.25</v>
      </c>
      <c r="H13" s="2">
        <f>$I5*G13</f>
        <v>0.26249999999999996</v>
      </c>
      <c r="I13" s="2">
        <f>I14^2</f>
        <v>0.21902400000000002</v>
      </c>
      <c r="J13" s="2">
        <f>$I5*I13</f>
        <v>0.2299752</v>
      </c>
    </row>
    <row r="14" spans="1:10" ht="12.75">
      <c r="A14" s="11">
        <v>0</v>
      </c>
      <c r="B14" s="2">
        <f>$I6*A14</f>
        <v>0</v>
      </c>
      <c r="C14" s="11">
        <v>1.3</v>
      </c>
      <c r="D14" s="2">
        <f>$I6*C14</f>
        <v>0.78</v>
      </c>
      <c r="E14" s="11">
        <v>0.65</v>
      </c>
      <c r="F14" s="2">
        <f>$I6*E14</f>
        <v>0.39</v>
      </c>
      <c r="G14" s="11">
        <v>0.5</v>
      </c>
      <c r="H14" s="2">
        <f>$I6*G14</f>
        <v>0.3</v>
      </c>
      <c r="I14" s="11">
        <v>0.468</v>
      </c>
      <c r="J14" s="2">
        <f>$I6*I14</f>
        <v>0.2808</v>
      </c>
    </row>
    <row r="15" spans="2:10" ht="12.75">
      <c r="B15" s="12">
        <f>$I7</f>
        <v>-0.61326</v>
      </c>
      <c r="D15" s="12">
        <f>$I7</f>
        <v>-0.61326</v>
      </c>
      <c r="F15" s="12">
        <f>$I7</f>
        <v>-0.61326</v>
      </c>
      <c r="H15" s="12">
        <f>$I7</f>
        <v>-0.61326</v>
      </c>
      <c r="J15" s="12">
        <f>$I7</f>
        <v>-0.61326</v>
      </c>
    </row>
    <row r="16" spans="2:10" ht="12.75">
      <c r="B16" s="8">
        <f>SUM(B12:B15)</f>
        <v>-0.61326</v>
      </c>
      <c r="D16" s="8">
        <f>SUM(D12:D15)</f>
        <v>4.138240000000001</v>
      </c>
      <c r="F16" s="8">
        <f>SUM(F12:F15)</f>
        <v>0.49498999999999993</v>
      </c>
      <c r="H16" s="8">
        <f>SUM(H12:H15)</f>
        <v>0.07423999999999997</v>
      </c>
      <c r="J16" s="8">
        <f>SUM(J12:J15)</f>
        <v>1.843199999995715E-05</v>
      </c>
    </row>
    <row r="18" spans="1:5" ht="12.75">
      <c r="A18" s="2" t="s">
        <v>29</v>
      </c>
      <c r="B18" s="16">
        <f>-C4*I14^2/2-B10*C9*(I14-C6)+B10*C8*(C7-I14)</f>
        <v>-0.027393600000000004</v>
      </c>
      <c r="D18" s="2" t="s">
        <v>57</v>
      </c>
      <c r="E18" s="5">
        <f>B19*(-I14)*1000</f>
        <v>-34.16856492027334</v>
      </c>
    </row>
    <row r="19" spans="1:5" ht="12.75">
      <c r="A19" s="2" t="s">
        <v>58</v>
      </c>
      <c r="B19" s="8">
        <f>F5*1000/B18/1000000000</f>
        <v>0.07300975410314817</v>
      </c>
      <c r="D19" s="2" t="s">
        <v>59</v>
      </c>
      <c r="E19" s="3">
        <f>B10*B19*(C7-I14)*1000</f>
        <v>867.3558787454002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3" sqref="A3"/>
    </sheetView>
  </sheetViews>
  <sheetFormatPr defaultColWidth="9.140625" defaultRowHeight="12.75"/>
  <cols>
    <col min="1" max="3" width="9.140625" style="2" customWidth="1"/>
    <col min="4" max="4" width="10.00390625" style="2" bestFit="1" customWidth="1"/>
    <col min="5" max="16384" width="9.140625" style="2" customWidth="1"/>
  </cols>
  <sheetData>
    <row r="1" ht="12.75">
      <c r="A1" s="1" t="s">
        <v>84</v>
      </c>
    </row>
    <row r="2" ht="12.75">
      <c r="A2" s="1" t="s">
        <v>85</v>
      </c>
    </row>
    <row r="4" spans="1:8" ht="12.75">
      <c r="A4" s="2" t="s">
        <v>73</v>
      </c>
      <c r="B4" s="2">
        <v>15</v>
      </c>
      <c r="D4" s="2" t="s">
        <v>23</v>
      </c>
      <c r="E4" s="2">
        <v>12</v>
      </c>
      <c r="G4" s="2" t="s">
        <v>74</v>
      </c>
      <c r="H4" s="14">
        <v>23.5</v>
      </c>
    </row>
    <row r="5" spans="1:8" ht="12.75">
      <c r="A5" s="2" t="s">
        <v>8</v>
      </c>
      <c r="B5" s="2">
        <v>4</v>
      </c>
      <c r="D5" s="2" t="s">
        <v>35</v>
      </c>
      <c r="E5" s="2">
        <v>-200</v>
      </c>
      <c r="G5" s="2" t="s">
        <v>75</v>
      </c>
      <c r="H5" s="5">
        <f>E6+ra-x</f>
        <v>-14.5</v>
      </c>
    </row>
    <row r="6" spans="1:11" ht="12.75">
      <c r="A6" s="2" t="s">
        <v>10</v>
      </c>
      <c r="B6" s="2">
        <v>12.32</v>
      </c>
      <c r="D6" s="2" t="s">
        <v>100</v>
      </c>
      <c r="E6" s="2">
        <f>E4/E5*100</f>
        <v>-6</v>
      </c>
      <c r="G6" s="2" t="s">
        <v>29</v>
      </c>
      <c r="H6" s="2">
        <f>H19+n*H11</f>
        <v>-7878.6744296782</v>
      </c>
      <c r="J6" s="2">
        <v>0</v>
      </c>
      <c r="K6" s="2">
        <v>-27812.4</v>
      </c>
    </row>
    <row r="7" spans="1:11" ht="12.75">
      <c r="A7" s="2" t="s">
        <v>21</v>
      </c>
      <c r="B7" s="2">
        <v>15</v>
      </c>
      <c r="G7" s="2" t="s">
        <v>76</v>
      </c>
      <c r="H7" s="12">
        <f>H21+n*H12</f>
        <v>114238.06692751961</v>
      </c>
      <c r="J7" s="2">
        <v>2</v>
      </c>
      <c r="K7" s="2">
        <v>-25727.478942512644</v>
      </c>
    </row>
    <row r="8" spans="7:11" ht="12.75">
      <c r="G8" s="2" t="s">
        <v>77</v>
      </c>
      <c r="H8" s="2">
        <f>H6*H5-H7</f>
        <v>2.712302814281429</v>
      </c>
      <c r="J8" s="2">
        <v>4</v>
      </c>
      <c r="K8" s="2">
        <v>-24039.81869311646</v>
      </c>
    </row>
    <row r="9" spans="1:11" ht="12.75">
      <c r="A9" s="2" t="s">
        <v>81</v>
      </c>
      <c r="B9" s="3">
        <f>PI()*ra^2</f>
        <v>706.8583470577034</v>
      </c>
      <c r="J9" s="2">
        <v>6</v>
      </c>
      <c r="K9" s="2">
        <v>-22751.317001552496</v>
      </c>
    </row>
    <row r="10" spans="1:11" ht="12.75">
      <c r="A10" s="2" t="s">
        <v>4</v>
      </c>
      <c r="B10" s="3">
        <f>B9+n*As</f>
        <v>891.6583470577034</v>
      </c>
      <c r="G10" s="9" t="s">
        <v>78</v>
      </c>
      <c r="J10" s="2">
        <v>8</v>
      </c>
      <c r="K10" s="2">
        <v>-21745.726605825686</v>
      </c>
    </row>
    <row r="11" spans="1:11" ht="12.75">
      <c r="A11" s="2" t="s">
        <v>42</v>
      </c>
      <c r="B11" s="4">
        <f>PI()*ra^4/4</f>
        <v>39760.782021995816</v>
      </c>
      <c r="G11" s="2" t="s">
        <v>29</v>
      </c>
      <c r="H11" s="2">
        <f>-As*(x-ra)</f>
        <v>-104.72</v>
      </c>
      <c r="J11" s="2">
        <v>10</v>
      </c>
      <c r="K11" s="2">
        <v>-20843.179102095513</v>
      </c>
    </row>
    <row r="12" spans="1:11" ht="12.75">
      <c r="A12" s="2" t="s">
        <v>44</v>
      </c>
      <c r="B12" s="4">
        <f>As*(ra-co)^2/2</f>
        <v>745.36</v>
      </c>
      <c r="G12" s="2" t="s">
        <v>76</v>
      </c>
      <c r="H12" s="3">
        <f>As*((ra-co)^2/2+(x-ra)^2)</f>
        <v>1635.48</v>
      </c>
      <c r="J12" s="2">
        <v>12</v>
      </c>
      <c r="K12" s="2">
        <v>-19825.813149172565</v>
      </c>
    </row>
    <row r="13" spans="1:11" ht="12.75">
      <c r="A13" s="2" t="s">
        <v>14</v>
      </c>
      <c r="B13" s="4">
        <f>B11+n*B12</f>
        <v>50941.18202199582</v>
      </c>
      <c r="J13" s="2">
        <v>14</v>
      </c>
      <c r="K13" s="2">
        <v>-18455.196065237542</v>
      </c>
    </row>
    <row r="14" spans="7:11" ht="12.75">
      <c r="G14" s="9" t="s">
        <v>79</v>
      </c>
      <c r="J14" s="2">
        <v>16</v>
      </c>
      <c r="K14" s="2">
        <v>-16486.45265308991</v>
      </c>
    </row>
    <row r="15" spans="1:11" ht="12.75">
      <c r="A15" s="2" t="s">
        <v>47</v>
      </c>
      <c r="B15" s="5">
        <f>B13/B10/ra</f>
        <v>3.808722043227406</v>
      </c>
      <c r="G15" s="2" t="s">
        <v>80</v>
      </c>
      <c r="H15" s="7">
        <f>ACOS(1-x/ra)</f>
        <v>2.173250960179887</v>
      </c>
      <c r="J15" s="2">
        <v>20</v>
      </c>
      <c r="K15" s="2">
        <v>-9820.54695718085</v>
      </c>
    </row>
    <row r="16" spans="7:11" ht="12.75">
      <c r="G16" s="2" t="s">
        <v>81</v>
      </c>
      <c r="H16" s="5">
        <f>ra^2/2*(2*teta-SIN(2*teta))</f>
        <v>594.0347263420949</v>
      </c>
      <c r="J16" s="2">
        <v>22</v>
      </c>
      <c r="K16" s="2">
        <v>-4719.630578585944</v>
      </c>
    </row>
    <row r="17" spans="1:11" ht="12.75">
      <c r="A17" s="2" t="s">
        <v>86</v>
      </c>
      <c r="B17" s="3">
        <f>H19+n*H11</f>
        <v>-7878.6744296782</v>
      </c>
      <c r="G17" s="2" t="s">
        <v>82</v>
      </c>
      <c r="H17" s="5">
        <f>IF(x=0,ra,2*ra^3*SIN(teta)^3/3/Ac)</f>
        <v>2.118696432985296</v>
      </c>
      <c r="J17" s="2">
        <v>24</v>
      </c>
      <c r="K17" s="2">
        <v>1754.8119232335011</v>
      </c>
    </row>
    <row r="18" spans="1:11" ht="12.75">
      <c r="A18" s="2" t="s">
        <v>58</v>
      </c>
      <c r="B18" s="2">
        <f>E5*1000/(B17*1000)</f>
        <v>0.02538498091082676</v>
      </c>
      <c r="G18" s="2" t="s">
        <v>83</v>
      </c>
      <c r="H18" s="5">
        <f>d0-ra+x</f>
        <v>10.618696432985296</v>
      </c>
      <c r="J18" s="2">
        <v>28</v>
      </c>
      <c r="K18" s="2">
        <v>18936.28512492997</v>
      </c>
    </row>
    <row r="19" spans="1:11" ht="12.75">
      <c r="A19" s="2" t="s">
        <v>87</v>
      </c>
      <c r="B19" s="5">
        <f>B18*(-x)*10</f>
        <v>-5.965470514044289</v>
      </c>
      <c r="G19" s="2" t="s">
        <v>29</v>
      </c>
      <c r="H19" s="3">
        <f>-Ac*dd</f>
        <v>-6307.8744296782</v>
      </c>
      <c r="J19" s="2">
        <v>30</v>
      </c>
      <c r="K19" s="2">
        <v>29308.06921319751</v>
      </c>
    </row>
    <row r="20" spans="1:8" ht="12.75">
      <c r="A20" s="2" t="s">
        <v>88</v>
      </c>
      <c r="B20" s="3">
        <f>n*B18*(2*ra-co-x)*10</f>
        <v>9.519367841560035</v>
      </c>
      <c r="G20" s="2" t="s">
        <v>105</v>
      </c>
      <c r="H20" s="3">
        <f>ra^4/16*(4*teta-SIN(4*teta))</f>
        <v>25391.010601206584</v>
      </c>
    </row>
    <row r="21" spans="7:8" ht="12.75">
      <c r="G21" s="2" t="s">
        <v>76</v>
      </c>
      <c r="H21" s="3">
        <f>Iz0+Ac*(dd^2-d0^2)</f>
        <v>89705.86692751962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8" width="9.7109375" style="2" customWidth="1"/>
    <col min="9" max="16384" width="9.140625" style="2" customWidth="1"/>
  </cols>
  <sheetData>
    <row r="1" ht="12.75">
      <c r="A1" s="1" t="s">
        <v>98</v>
      </c>
    </row>
    <row r="2" spans="1:8" ht="12.75">
      <c r="A2" s="1" t="s">
        <v>89</v>
      </c>
      <c r="H2" s="2" t="s">
        <v>90</v>
      </c>
    </row>
    <row r="4" spans="1:10" ht="12.75">
      <c r="A4" s="2" t="s">
        <v>2</v>
      </c>
      <c r="B4" s="2">
        <v>30</v>
      </c>
      <c r="C4" s="2">
        <f>B4/100</f>
        <v>0.3</v>
      </c>
      <c r="E4" s="2" t="s">
        <v>23</v>
      </c>
      <c r="F4" s="2">
        <v>800</v>
      </c>
      <c r="G4" s="9" t="s">
        <v>24</v>
      </c>
      <c r="I4" s="2" t="s">
        <v>87</v>
      </c>
      <c r="J4" s="5">
        <f>F5/I16*(-I13)*10</f>
        <v>-12.772367134356411</v>
      </c>
    </row>
    <row r="5" spans="1:10" ht="12.75">
      <c r="A5" s="2" t="s">
        <v>6</v>
      </c>
      <c r="B5" s="2">
        <v>130</v>
      </c>
      <c r="C5" s="2">
        <f>B5/100</f>
        <v>1.3</v>
      </c>
      <c r="E5" s="2" t="s">
        <v>35</v>
      </c>
      <c r="F5" s="2">
        <v>-2000</v>
      </c>
      <c r="G5" s="9" t="s">
        <v>30</v>
      </c>
      <c r="I5" s="2" t="s">
        <v>88</v>
      </c>
      <c r="J5" s="3">
        <f>B8*F5/I16*(B5-B6-I13)*10</f>
        <v>131.75256638514162</v>
      </c>
    </row>
    <row r="6" spans="1:3" ht="12.75">
      <c r="A6" s="2" t="s">
        <v>8</v>
      </c>
      <c r="B6" s="2">
        <v>4</v>
      </c>
      <c r="C6" s="2">
        <f>B6/100</f>
        <v>0.04</v>
      </c>
    </row>
    <row r="7" spans="1:7" ht="12.75">
      <c r="A7" s="2" t="s">
        <v>10</v>
      </c>
      <c r="B7" s="2">
        <v>10</v>
      </c>
      <c r="C7" s="2">
        <f>B7/10000</f>
        <v>0.001</v>
      </c>
      <c r="E7" s="2" t="s">
        <v>100</v>
      </c>
      <c r="F7" s="5">
        <f>F4/F5*100</f>
        <v>-40</v>
      </c>
      <c r="G7" s="9" t="s">
        <v>3</v>
      </c>
    </row>
    <row r="8" spans="1:7" ht="12.75">
      <c r="A8" s="2" t="s">
        <v>21</v>
      </c>
      <c r="B8" s="2">
        <v>15</v>
      </c>
      <c r="E8" s="2" t="s">
        <v>97</v>
      </c>
      <c r="F8" s="5">
        <f>B5/2</f>
        <v>65</v>
      </c>
      <c r="G8" s="9" t="s">
        <v>3</v>
      </c>
    </row>
    <row r="10" spans="1:2" ht="12.75">
      <c r="A10" s="2" t="s">
        <v>91</v>
      </c>
      <c r="B10" s="2">
        <f>(B5-B4)/2</f>
        <v>50</v>
      </c>
    </row>
    <row r="11" spans="1:2" ht="12.75">
      <c r="A11" s="2" t="s">
        <v>92</v>
      </c>
      <c r="B11" s="2">
        <f>(B5+B4)/2</f>
        <v>80</v>
      </c>
    </row>
    <row r="13" spans="1:9" ht="12.75">
      <c r="A13" s="2" t="s">
        <v>74</v>
      </c>
      <c r="B13" s="5">
        <v>0</v>
      </c>
      <c r="C13" s="5">
        <v>130</v>
      </c>
      <c r="D13" s="5">
        <v>65</v>
      </c>
      <c r="E13" s="5">
        <v>90</v>
      </c>
      <c r="F13" s="5">
        <v>75</v>
      </c>
      <c r="G13" s="5">
        <v>74</v>
      </c>
      <c r="H13" s="5">
        <v>74.7</v>
      </c>
      <c r="I13" s="7">
        <v>74.658</v>
      </c>
    </row>
    <row r="14" spans="1:9" ht="12.75">
      <c r="A14" s="2" t="s">
        <v>93</v>
      </c>
      <c r="B14" s="4">
        <f>2*$B$7*($B$5/2-B13)</f>
        <v>1300</v>
      </c>
      <c r="C14" s="4">
        <f aca="true" t="shared" si="0" ref="C14:I14">2*$B$7*($B$5/2-C13)</f>
        <v>-1300</v>
      </c>
      <c r="D14" s="4">
        <f t="shared" si="0"/>
        <v>0</v>
      </c>
      <c r="E14" s="4">
        <f t="shared" si="0"/>
        <v>-500</v>
      </c>
      <c r="F14" s="4">
        <f t="shared" si="0"/>
        <v>-200</v>
      </c>
      <c r="G14" s="4">
        <f t="shared" si="0"/>
        <v>-180</v>
      </c>
      <c r="H14" s="4">
        <f t="shared" si="0"/>
        <v>-194.00000000000006</v>
      </c>
      <c r="I14" s="4">
        <f t="shared" si="0"/>
        <v>-193.16000000000003</v>
      </c>
    </row>
    <row r="15" spans="1:9" ht="12.75">
      <c r="A15" s="2" t="s">
        <v>94</v>
      </c>
      <c r="B15" s="4">
        <f>IF(B13&lt;$B$10,-$B$4*B13^2/2,IF(B13&lt;$B$11,-$B$4*B13^2/2-($B$5-$B$4)*(B13-$B$10)^2/2,-$B$4*B13^2/2-($B$5-$B$4)*((B13-$B$10)^2-(B13-$B$11)^2)/2))</f>
        <v>0</v>
      </c>
      <c r="C15" s="4">
        <f aca="true" t="shared" si="1" ref="C15:I15">IF(C13&lt;$B$10,-$B$4*C13^2/2,IF(C13&lt;$B$11,-$B$4*C13^2/2-($B$5-$B$4)*(C13-$B$10)^2/2,-$B$4*C13^2/2-($B$5-$B$4)*((C13-$B$10)^2-(C13-$B$11)^2)/2))</f>
        <v>-448500</v>
      </c>
      <c r="D15" s="4">
        <f t="shared" si="1"/>
        <v>-74625</v>
      </c>
      <c r="E15" s="4">
        <f t="shared" si="1"/>
        <v>-196500</v>
      </c>
      <c r="F15" s="4">
        <f t="shared" si="1"/>
        <v>-115625</v>
      </c>
      <c r="G15" s="4">
        <f t="shared" si="1"/>
        <v>-110940</v>
      </c>
      <c r="H15" s="4">
        <f t="shared" si="1"/>
        <v>-114205.85</v>
      </c>
      <c r="I15" s="4">
        <f t="shared" si="1"/>
        <v>-114008.10266</v>
      </c>
    </row>
    <row r="16" spans="1:9" ht="12.75">
      <c r="A16" s="2" t="s">
        <v>29</v>
      </c>
      <c r="B16" s="4">
        <f>B14*$B$8+B15</f>
        <v>19500</v>
      </c>
      <c r="C16" s="4">
        <f aca="true" t="shared" si="2" ref="C16:I16">C14*$B$8+C15</f>
        <v>-468000</v>
      </c>
      <c r="D16" s="4">
        <f t="shared" si="2"/>
        <v>-74625</v>
      </c>
      <c r="E16" s="4">
        <f t="shared" si="2"/>
        <v>-204000</v>
      </c>
      <c r="F16" s="4">
        <f t="shared" si="2"/>
        <v>-118625</v>
      </c>
      <c r="G16" s="4">
        <f t="shared" si="2"/>
        <v>-113640</v>
      </c>
      <c r="H16" s="4">
        <f t="shared" si="2"/>
        <v>-117115.85</v>
      </c>
      <c r="I16" s="4">
        <f t="shared" si="2"/>
        <v>-116905.50266</v>
      </c>
    </row>
    <row r="17" spans="1:9" ht="12.75">
      <c r="A17" s="2" t="s">
        <v>95</v>
      </c>
      <c r="B17" s="4">
        <f>$B$7*(($B$5-$B$6-B13)^2+(B13-$B$6)^2)</f>
        <v>158920</v>
      </c>
      <c r="C17" s="4">
        <f aca="true" t="shared" si="3" ref="C17:I17">$B$7*(($B$5-$B$6-C13)^2+(C13-$B$6)^2)</f>
        <v>158920</v>
      </c>
      <c r="D17" s="4">
        <f t="shared" si="3"/>
        <v>74420</v>
      </c>
      <c r="E17" s="4">
        <f t="shared" si="3"/>
        <v>86920</v>
      </c>
      <c r="F17" s="4">
        <f t="shared" si="3"/>
        <v>76420</v>
      </c>
      <c r="G17" s="4">
        <f t="shared" si="3"/>
        <v>76040</v>
      </c>
      <c r="H17" s="4">
        <f t="shared" si="3"/>
        <v>76301.8</v>
      </c>
      <c r="I17" s="4">
        <f t="shared" si="3"/>
        <v>76285.53928</v>
      </c>
    </row>
    <row r="18" spans="1:9" ht="12.75">
      <c r="A18" s="2" t="s">
        <v>96</v>
      </c>
      <c r="B18" s="4">
        <f>IF(B13&lt;$B$10,$B$4*B13^3/3,IF(B13&lt;$B$11,$B$4*B13^3/3+($B$5-$B$4)*(B13-$B$10)^3/3,$B$4*B13^3/3+($B$5-$B$4)*((B13-$B$10)^3-(B13-$B$11)^3)/3))</f>
        <v>0</v>
      </c>
      <c r="C18" s="4">
        <f aca="true" t="shared" si="4" ref="C18:I18">IF(C13&lt;$B$10,$B$4*C13^3/3,IF(C13&lt;$B$11,$B$4*C13^3/3+($B$5-$B$4)*(C13-$B$10)^3/3,$B$4*C13^3/3+($B$5-$B$4)*((C13-$B$10)^3-(C13-$B$11)^3)/3))</f>
        <v>34870000</v>
      </c>
      <c r="D18" s="4">
        <f t="shared" si="4"/>
        <v>2858750</v>
      </c>
      <c r="E18" s="4">
        <f t="shared" si="4"/>
        <v>9390000</v>
      </c>
      <c r="F18" s="4">
        <f t="shared" si="4"/>
        <v>4739583.333333333</v>
      </c>
      <c r="G18" s="4">
        <f t="shared" si="4"/>
        <v>4513040</v>
      </c>
      <c r="H18" s="4">
        <f t="shared" si="4"/>
        <v>4670634.663333333</v>
      </c>
      <c r="I18" s="4">
        <f t="shared" si="4"/>
        <v>4661049.678926853</v>
      </c>
    </row>
    <row r="19" spans="1:9" ht="12.75">
      <c r="A19" s="2" t="s">
        <v>76</v>
      </c>
      <c r="B19" s="4">
        <f>B17*$B$8+B18</f>
        <v>2383800</v>
      </c>
      <c r="C19" s="4">
        <f aca="true" t="shared" si="5" ref="C19:I19">C17*$B$8+C18</f>
        <v>37253800</v>
      </c>
      <c r="D19" s="4">
        <f t="shared" si="5"/>
        <v>3975050</v>
      </c>
      <c r="E19" s="4">
        <f t="shared" si="5"/>
        <v>10693800</v>
      </c>
      <c r="F19" s="4">
        <f t="shared" si="5"/>
        <v>5885883.333333333</v>
      </c>
      <c r="G19" s="4">
        <f t="shared" si="5"/>
        <v>5653640</v>
      </c>
      <c r="H19" s="4">
        <f t="shared" si="5"/>
        <v>5815161.663333333</v>
      </c>
      <c r="I19" s="4">
        <f t="shared" si="5"/>
        <v>5805332.768126854</v>
      </c>
    </row>
    <row r="20" spans="1:9" ht="12.75">
      <c r="A20" s="2" t="s">
        <v>106</v>
      </c>
      <c r="B20" s="5">
        <f>$F$7+$B$5/2-B13</f>
        <v>25</v>
      </c>
      <c r="C20" s="5">
        <f aca="true" t="shared" si="6" ref="C20:I20">$F$7+$B$5/2-C13</f>
        <v>-105</v>
      </c>
      <c r="D20" s="5">
        <f t="shared" si="6"/>
        <v>-40</v>
      </c>
      <c r="E20" s="5">
        <f t="shared" si="6"/>
        <v>-65</v>
      </c>
      <c r="F20" s="5">
        <f t="shared" si="6"/>
        <v>-50</v>
      </c>
      <c r="G20" s="5">
        <f t="shared" si="6"/>
        <v>-49</v>
      </c>
      <c r="H20" s="5">
        <f t="shared" si="6"/>
        <v>-49.7</v>
      </c>
      <c r="I20" s="7">
        <f t="shared" si="6"/>
        <v>-49.658</v>
      </c>
    </row>
    <row r="21" spans="2:9" ht="12.75">
      <c r="B21" s="4">
        <f>B16*B20-B19</f>
        <v>-1896300</v>
      </c>
      <c r="C21" s="4">
        <f aca="true" t="shared" si="7" ref="C21:I21">C16*C20-C19</f>
        <v>11886200</v>
      </c>
      <c r="D21" s="4">
        <f t="shared" si="7"/>
        <v>-990050</v>
      </c>
      <c r="E21" s="4">
        <f t="shared" si="7"/>
        <v>2566200</v>
      </c>
      <c r="F21" s="4">
        <f t="shared" si="7"/>
        <v>45366.66666666698</v>
      </c>
      <c r="G21" s="4">
        <f t="shared" si="7"/>
        <v>-85280</v>
      </c>
      <c r="H21" s="4">
        <f t="shared" si="7"/>
        <v>5496.081666667946</v>
      </c>
      <c r="I21" s="4">
        <f t="shared" si="7"/>
        <v>-39.31703657377511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pane ySplit="10" topLeftCell="BM11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123</v>
      </c>
    </row>
    <row r="2" ht="12.75">
      <c r="A2" s="1" t="s">
        <v>124</v>
      </c>
    </row>
    <row r="3" spans="2:7" ht="12.75">
      <c r="B3" s="2" t="s">
        <v>51</v>
      </c>
      <c r="C3" s="2" t="s">
        <v>52</v>
      </c>
      <c r="F3" s="2" t="s">
        <v>17</v>
      </c>
      <c r="G3" s="2" t="s">
        <v>111</v>
      </c>
    </row>
    <row r="4" spans="1:7" ht="12.75">
      <c r="A4" s="2" t="s">
        <v>2</v>
      </c>
      <c r="B4" s="2">
        <v>30</v>
      </c>
      <c r="C4" s="2">
        <f>B4/100</f>
        <v>0.3</v>
      </c>
      <c r="E4" s="15" t="s">
        <v>108</v>
      </c>
      <c r="F4" s="2">
        <v>8.5</v>
      </c>
      <c r="G4" s="2">
        <f>F4*1000</f>
        <v>8500</v>
      </c>
    </row>
    <row r="5" spans="1:7" ht="12.75">
      <c r="A5" s="2" t="s">
        <v>6</v>
      </c>
      <c r="B5" s="2">
        <v>60</v>
      </c>
      <c r="C5" s="2">
        <f>B5/100</f>
        <v>0.6</v>
      </c>
      <c r="E5" s="15" t="s">
        <v>109</v>
      </c>
      <c r="F5" s="2">
        <v>255</v>
      </c>
      <c r="G5" s="2">
        <f>F5*1000</f>
        <v>255000</v>
      </c>
    </row>
    <row r="6" spans="1:3" ht="12.75">
      <c r="A6" s="2" t="s">
        <v>8</v>
      </c>
      <c r="B6" s="2">
        <v>4</v>
      </c>
      <c r="C6" s="2">
        <f>B6/100</f>
        <v>0.04</v>
      </c>
    </row>
    <row r="7" spans="1:3" ht="12.75">
      <c r="A7" s="2" t="s">
        <v>13</v>
      </c>
      <c r="B7" s="2">
        <f>B5-B6</f>
        <v>56</v>
      </c>
      <c r="C7" s="2">
        <f>B7/100</f>
        <v>0.56</v>
      </c>
    </row>
    <row r="8" spans="1:2" ht="12.75">
      <c r="A8" s="2" t="s">
        <v>21</v>
      </c>
      <c r="B8" s="2">
        <v>15</v>
      </c>
    </row>
    <row r="9" spans="1:3" ht="12.75">
      <c r="A9" s="2" t="s">
        <v>10</v>
      </c>
      <c r="B9" s="2">
        <v>10</v>
      </c>
      <c r="C9" s="2">
        <f>B9/10000</f>
        <v>0.001</v>
      </c>
    </row>
    <row r="10" spans="1:3" ht="12.75">
      <c r="A10" s="2" t="s">
        <v>12</v>
      </c>
      <c r="B10" s="2">
        <v>6</v>
      </c>
      <c r="C10" s="2">
        <f>B10/10000</f>
        <v>0.0006</v>
      </c>
    </row>
    <row r="12" spans="1:10" ht="12.75">
      <c r="A12" s="2" t="s">
        <v>107</v>
      </c>
      <c r="B12" s="15" t="s">
        <v>110</v>
      </c>
      <c r="C12" s="2" t="s">
        <v>111</v>
      </c>
      <c r="D12" s="2" t="s">
        <v>116</v>
      </c>
      <c r="E12" s="15" t="s">
        <v>112</v>
      </c>
      <c r="G12" s="2" t="s">
        <v>35</v>
      </c>
      <c r="H12" s="2" t="s">
        <v>23</v>
      </c>
      <c r="I12" s="2" t="s">
        <v>35</v>
      </c>
      <c r="J12" s="2" t="s">
        <v>23</v>
      </c>
    </row>
    <row r="13" spans="2:10" ht="12.75">
      <c r="B13" s="2">
        <f>F5</f>
        <v>255</v>
      </c>
      <c r="C13" s="17">
        <f>B13*1000</f>
        <v>255000</v>
      </c>
      <c r="D13" s="2">
        <f>($G$5-C13)/$C$7</f>
        <v>0</v>
      </c>
      <c r="E13" s="17">
        <f>C13*($C$7-$C$6)/$C$7+$G$5*$C$6/$C$7</f>
        <v>254999.99999999997</v>
      </c>
      <c r="G13" s="5">
        <f>$C$9*$G$5+$C$10*E13</f>
        <v>408</v>
      </c>
      <c r="H13" s="5">
        <f>($C$9*$G$5-$C$10*E13)*($C$5/2-$C$6)</f>
        <v>26.520000000000007</v>
      </c>
      <c r="I13" s="5">
        <f>($C$9+$C$6/$C$7*$C$10)*$G$5+$C$10*($C$7-$C$6)/$C$7*C13</f>
        <v>408</v>
      </c>
      <c r="J13" s="5">
        <f>(($C$9-$C$6/$C$7*$C$10)*$G$5-$C$10*($C$7-$C$6)/$C$7*C13)*($C$5/2-$C$6)</f>
        <v>26.520000000000007</v>
      </c>
    </row>
    <row r="14" spans="2:10" ht="12.75">
      <c r="B14" s="2">
        <v>0</v>
      </c>
      <c r="C14" s="17">
        <f>B14*1000</f>
        <v>0</v>
      </c>
      <c r="D14" s="2">
        <f>($G$5-C14)/$C$7</f>
        <v>455357.14285714284</v>
      </c>
      <c r="E14" s="17">
        <f>C14*($C$7-$C$6)/$C$7+$G$5*$C$6/$C$7</f>
        <v>18214.285714285714</v>
      </c>
      <c r="G14" s="5">
        <f>$C$9*$G$5+$C$10*E14</f>
        <v>265.92857142857144</v>
      </c>
      <c r="H14" s="5">
        <f>($C$9*$G$5-$C$10*E14)*($C$5/2-$C$6)</f>
        <v>63.45857142857143</v>
      </c>
      <c r="I14" s="5">
        <f>($C$9+$C$6/$C$7*$C$10)*$G$5+$C$10*($C$7-$C$6)/$C$7*C14</f>
        <v>265.92857142857144</v>
      </c>
      <c r="J14" s="5">
        <f>(($C$9-$C$6/$C$7*$C$10)*$G$5-$C$10*($C$7-$C$6)/$C$7*C14)*($C$5/2-$C$6)</f>
        <v>63.45857142857143</v>
      </c>
    </row>
    <row r="16" spans="1:10" ht="12.75">
      <c r="A16" s="2" t="s">
        <v>113</v>
      </c>
      <c r="B16" s="15" t="s">
        <v>114</v>
      </c>
      <c r="C16" s="2" t="s">
        <v>111</v>
      </c>
      <c r="D16" s="2" t="s">
        <v>115</v>
      </c>
      <c r="E16" s="15" t="s">
        <v>112</v>
      </c>
      <c r="F16" s="2" t="s">
        <v>74</v>
      </c>
      <c r="G16" s="2" t="s">
        <v>35</v>
      </c>
      <c r="H16" s="2" t="s">
        <v>23</v>
      </c>
      <c r="I16" s="2" t="s">
        <v>35</v>
      </c>
      <c r="J16" s="2" t="s">
        <v>23</v>
      </c>
    </row>
    <row r="17" spans="1:10" ht="12.75">
      <c r="A17" s="2">
        <v>0</v>
      </c>
      <c r="B17" s="5">
        <f>$B$22*A17/$A$22</f>
        <v>0</v>
      </c>
      <c r="C17" s="17">
        <f aca="true" t="shared" si="0" ref="C17:C22">B17*1000</f>
        <v>0</v>
      </c>
      <c r="D17" s="3">
        <f aca="true" t="shared" si="1" ref="D17:D22">($G$5/$B$8-C17)/$C$7</f>
        <v>30357.142857142855</v>
      </c>
      <c r="E17" s="17">
        <f aca="true" t="shared" si="2" ref="E17:E22">$B$8*C17*($C$7-$C$6)/$C$7+$G$5*$C$6/$C$7</f>
        <v>18214.285714285714</v>
      </c>
      <c r="F17" s="7">
        <f aca="true" t="shared" si="3" ref="F17:F22">-C17/($G$5/$B$8-C17)*$C$7</f>
        <v>0</v>
      </c>
      <c r="G17" s="5">
        <f aca="true" t="shared" si="4" ref="G17:G22">$C$4*F17/2*C17+$C$9*$G$5+$C$10*E17</f>
        <v>265.92857142857144</v>
      </c>
      <c r="H17" s="5">
        <f aca="true" t="shared" si="5" ref="H17:H22">-$C$4*F17/2*C17*($C$5/2-F17/3)+($C$9*$G$5-$C$10*E17)*($C$5/2-$C$6)</f>
        <v>63.45857142857143</v>
      </c>
      <c r="I17" s="5">
        <f aca="true" t="shared" si="6" ref="I17:I22">-$C$4*$C$7/2*C17^2/($G$5/$B$8-C17)+($C$9+$C$6/$C$7*$C$10)*$G$5+$C$10*($C$7-$C$6)/$C$7*C17*$B$8</f>
        <v>265.92857142857144</v>
      </c>
      <c r="J17" s="5">
        <f aca="true" t="shared" si="7" ref="J17:J22">$C$4*$C$7/2*C17^2/($G$5/$B$8-C17)*($C$5/2+C17/($G$5/$B$8-C17)*$C$7/3)+(($C$9-$C$6/$C$7*$C$10)*$G$5-$C$10*($C$7-$C$6)/$C$7*C17*$B$8)*($C$5/2-$C$6)</f>
        <v>63.45857142857143</v>
      </c>
    </row>
    <row r="18" spans="1:10" ht="12.75">
      <c r="A18" s="2">
        <v>1</v>
      </c>
      <c r="B18" s="5">
        <f>$B$22*A18/$A$22</f>
        <v>-1.7</v>
      </c>
      <c r="C18" s="17">
        <f t="shared" si="0"/>
        <v>-1700</v>
      </c>
      <c r="D18" s="3">
        <f t="shared" si="1"/>
        <v>33392.85714285714</v>
      </c>
      <c r="E18" s="17">
        <f t="shared" si="2"/>
        <v>-5464.285714285714</v>
      </c>
      <c r="F18" s="7">
        <f t="shared" si="3"/>
        <v>0.05090909090909092</v>
      </c>
      <c r="G18" s="5">
        <f t="shared" si="4"/>
        <v>238.73961038961036</v>
      </c>
      <c r="H18" s="5">
        <f t="shared" si="5"/>
        <v>70.82667650531288</v>
      </c>
      <c r="I18" s="5">
        <f t="shared" si="6"/>
        <v>238.7396103896104</v>
      </c>
      <c r="J18" s="5">
        <f t="shared" si="7"/>
        <v>70.82667650531289</v>
      </c>
    </row>
    <row r="19" spans="1:10" ht="12.75">
      <c r="A19" s="2">
        <v>2</v>
      </c>
      <c r="B19" s="5">
        <f>$B$22*A19/$A$22</f>
        <v>-3.4</v>
      </c>
      <c r="C19" s="17">
        <f t="shared" si="0"/>
        <v>-3400</v>
      </c>
      <c r="D19" s="3">
        <f t="shared" si="1"/>
        <v>36428.57142857143</v>
      </c>
      <c r="E19" s="17">
        <f t="shared" si="2"/>
        <v>-29142.85714285714</v>
      </c>
      <c r="F19" s="7">
        <f t="shared" si="3"/>
        <v>0.09333333333333334</v>
      </c>
      <c r="G19" s="5">
        <f t="shared" si="4"/>
        <v>189.9142857142857</v>
      </c>
      <c r="H19" s="5">
        <f t="shared" si="5"/>
        <v>83.64539682539683</v>
      </c>
      <c r="I19" s="5">
        <f t="shared" si="6"/>
        <v>189.9142857142857</v>
      </c>
      <c r="J19" s="5">
        <f t="shared" si="7"/>
        <v>83.64539682539683</v>
      </c>
    </row>
    <row r="20" spans="1:10" ht="12.75">
      <c r="A20" s="2">
        <v>3</v>
      </c>
      <c r="B20" s="5">
        <f>$B$22*A20/$A$22</f>
        <v>-5.1</v>
      </c>
      <c r="C20" s="17">
        <f t="shared" si="0"/>
        <v>-5100</v>
      </c>
      <c r="D20" s="3">
        <f t="shared" si="1"/>
        <v>39464.28571428571</v>
      </c>
      <c r="E20" s="17">
        <f t="shared" si="2"/>
        <v>-52821.428571428565</v>
      </c>
      <c r="F20" s="7">
        <f t="shared" si="3"/>
        <v>0.12923076923076926</v>
      </c>
      <c r="G20" s="5">
        <f t="shared" si="4"/>
        <v>124.44560439560438</v>
      </c>
      <c r="H20" s="5">
        <f t="shared" si="5"/>
        <v>99.93995350803044</v>
      </c>
      <c r="I20" s="5">
        <f t="shared" si="6"/>
        <v>124.44560439560442</v>
      </c>
      <c r="J20" s="5">
        <f t="shared" si="7"/>
        <v>99.93995350803044</v>
      </c>
    </row>
    <row r="21" spans="1:10" ht="12.75">
      <c r="A21" s="2">
        <v>4</v>
      </c>
      <c r="B21" s="5">
        <f>$B$22*A21/$A$22</f>
        <v>-6.8</v>
      </c>
      <c r="C21" s="17">
        <f t="shared" si="0"/>
        <v>-6800</v>
      </c>
      <c r="D21" s="3">
        <f t="shared" si="1"/>
        <v>42499.99999999999</v>
      </c>
      <c r="E21" s="17">
        <f t="shared" si="2"/>
        <v>-76500</v>
      </c>
      <c r="F21" s="7">
        <f t="shared" si="3"/>
        <v>0.16</v>
      </c>
      <c r="G21" s="5">
        <f t="shared" si="4"/>
        <v>45.899999999999984</v>
      </c>
      <c r="H21" s="5">
        <f t="shared" si="5"/>
        <v>118.49</v>
      </c>
      <c r="I21" s="5">
        <f t="shared" si="6"/>
        <v>45.900000000000006</v>
      </c>
      <c r="J21" s="5">
        <f t="shared" si="7"/>
        <v>118.49</v>
      </c>
    </row>
    <row r="22" spans="1:10" ht="12.75">
      <c r="A22" s="2">
        <v>5</v>
      </c>
      <c r="B22" s="5">
        <f>-$F$4</f>
        <v>-8.5</v>
      </c>
      <c r="C22" s="17">
        <f t="shared" si="0"/>
        <v>-8500</v>
      </c>
      <c r="D22" s="3">
        <f t="shared" si="1"/>
        <v>45535.71428571428</v>
      </c>
      <c r="E22" s="17">
        <f t="shared" si="2"/>
        <v>-100178.57142857142</v>
      </c>
      <c r="F22" s="7">
        <f t="shared" si="3"/>
        <v>0.18666666666666668</v>
      </c>
      <c r="G22" s="5">
        <f t="shared" si="4"/>
        <v>-43.10714285714285</v>
      </c>
      <c r="H22" s="5">
        <f t="shared" si="5"/>
        <v>138.51896825396824</v>
      </c>
      <c r="I22" s="5">
        <f t="shared" si="6"/>
        <v>-43.10714285714283</v>
      </c>
      <c r="J22" s="5">
        <f t="shared" si="7"/>
        <v>138.51896825396824</v>
      </c>
    </row>
    <row r="24" spans="1:10" ht="12.75">
      <c r="A24" s="2" t="s">
        <v>117</v>
      </c>
      <c r="B24" s="15" t="s">
        <v>118</v>
      </c>
      <c r="C24" s="2" t="s">
        <v>111</v>
      </c>
      <c r="D24" s="2" t="s">
        <v>115</v>
      </c>
      <c r="E24" s="15" t="s">
        <v>112</v>
      </c>
      <c r="F24" s="2" t="s">
        <v>74</v>
      </c>
      <c r="G24" s="2" t="s">
        <v>35</v>
      </c>
      <c r="H24" s="2" t="s">
        <v>23</v>
      </c>
      <c r="I24" s="2" t="s">
        <v>35</v>
      </c>
      <c r="J24" s="2" t="s">
        <v>23</v>
      </c>
    </row>
    <row r="25" spans="1:10" ht="12.75">
      <c r="A25" s="2">
        <v>0</v>
      </c>
      <c r="B25" s="5">
        <f aca="true" t="shared" si="8" ref="B25:B44">$F$5+($B$45-$F$5)*A25/$A$45</f>
        <v>255</v>
      </c>
      <c r="C25" s="17">
        <f aca="true" t="shared" si="9" ref="C25:C45">B25*1000</f>
        <v>255000</v>
      </c>
      <c r="D25" s="3">
        <f aca="true" t="shared" si="10" ref="D25:D45">(C25/$B$8+$G$4)/$C$7</f>
        <v>45535.71428571428</v>
      </c>
      <c r="E25" s="17">
        <f>-$B$8*$G$4*($C$7-$C$6)/$C$7+C25*$C$6/$C$7</f>
        <v>-100178.57142857142</v>
      </c>
      <c r="F25" s="7">
        <f>$G$4/(C25/$B$8+$G$4)*$C$7</f>
        <v>0.18666666666666668</v>
      </c>
      <c r="G25" s="5">
        <f>-$C$4*F25/2*$G$4+$C$9*C25+$C$10*E25</f>
        <v>-43.10714285714285</v>
      </c>
      <c r="H25" s="5">
        <f>$C$4*F25/2*$G$4*($C$5/2-F25/3)+($C$9*C25-$C$10*E25)*($C$5/2-$C$6)</f>
        <v>138.51896825396824</v>
      </c>
      <c r="I25" s="5">
        <f>-$C$4*$C$7/2*$G$4^2/(C25/$B$8+$G$4)+($C$9+$C$6/$C$7*$C$10)*C25-$C$10*($C$7-$C$6)/$C$7*$B$8*$G$4</f>
        <v>-43.10714285714283</v>
      </c>
      <c r="J25" s="5">
        <f>$C$4*$C$7/2*$G$4^2/(C25/$B$8+$G$4)*($C$5/2-$G$4/(C25/$B$8+$G$4)*$C$7/3)+(($C$9-$C$6/$C$7*$C$10)*C25+$C$10*($C$7-$C$6)/$C$7*$B$8*$G$4)*($C$5/2-$C$6)</f>
        <v>138.51896825396824</v>
      </c>
    </row>
    <row r="26" spans="1:10" ht="12.75">
      <c r="A26" s="2">
        <v>1</v>
      </c>
      <c r="B26" s="5">
        <f t="shared" si="8"/>
        <v>241.825</v>
      </c>
      <c r="C26" s="17">
        <f t="shared" si="9"/>
        <v>241825</v>
      </c>
      <c r="D26" s="3">
        <f t="shared" si="10"/>
        <v>43967.261904761894</v>
      </c>
      <c r="E26" s="17">
        <f>-$B$8*$G$4*($C$7-$C$6)/$C$7+C26*$C$6/$C$7</f>
        <v>-101119.64285714284</v>
      </c>
      <c r="F26" s="7">
        <f>$G$4/(C26/$B$8+$G$4)*$C$7</f>
        <v>0.1933256616800921</v>
      </c>
      <c r="G26" s="5">
        <f>-$C$4*F26/2*$G$4+$C$9*C26+$C$10*E26</f>
        <v>-65.3370043564031</v>
      </c>
      <c r="H26" s="5">
        <f>$C$4*F26/2*$G$4*($C$5/2-F26/3)+($C$9*C26-$C$10*E26)*($C$5/2-$C$6)</f>
        <v>136.7119350061302</v>
      </c>
      <c r="I26" s="5">
        <f>-$C$4*$C$7/2*$G$4^2/(C26/$B$8+$G$4)+($C$9+$C$6/$C$7*$C$10)*C26-$C$10*($C$7-$C$6)/$C$7*$B$8*$G$4</f>
        <v>-65.3370043564031</v>
      </c>
      <c r="J26" s="5">
        <f>$C$4*$C$7/2*$G$4^2/(C26/$B$8+$G$4)*($C$5/2-$G$4/(C26/$B$8+$G$4)*$C$7/3)+(($C$9-$C$6/$C$7*$C$10)*C26+$C$10*($C$7-$C$6)/$C$7*$B$8*$G$4)*($C$5/2-$C$6)</f>
        <v>136.7119350061302</v>
      </c>
    </row>
    <row r="27" spans="1:10" ht="12.75">
      <c r="A27" s="2">
        <v>2</v>
      </c>
      <c r="B27" s="5">
        <f t="shared" si="8"/>
        <v>228.65</v>
      </c>
      <c r="C27" s="17">
        <f t="shared" si="9"/>
        <v>228650</v>
      </c>
      <c r="D27" s="3">
        <f t="shared" si="10"/>
        <v>42398.80952380953</v>
      </c>
      <c r="E27" s="17">
        <f>-$B$8*$G$4*($C$7-$C$6)/$C$7+C27*$C$6/$C$7</f>
        <v>-102060.71428571428</v>
      </c>
      <c r="F27" s="7">
        <f>$G$4/(C27/$B$8+$G$4)*$C$7</f>
        <v>0.20047732696897372</v>
      </c>
      <c r="G27" s="5">
        <f>-$C$4*F27/2*$G$4+$C$9*C27+$C$10*E27</f>
        <v>-88.19502045687004</v>
      </c>
      <c r="H27" s="5">
        <f>$C$4*F27/2*$G$4*($C$5/2-F27/3)+($C$9*C27-$C$10*E27)*($C$5/2-$C$6)</f>
        <v>134.9718065770383</v>
      </c>
      <c r="I27" s="5">
        <f>-$C$4*$C$7/2*$G$4^2/(C27/$B$8+$G$4)+($C$9+$C$6/$C$7*$C$10)*C27-$C$10*($C$7-$C$6)/$C$7*$B$8*$G$4</f>
        <v>-88.19502045687005</v>
      </c>
      <c r="J27" s="5">
        <f>$C$4*$C$7/2*$G$4^2/(C27/$B$8+$G$4)*($C$5/2-$G$4/(C27/$B$8+$G$4)*$C$7/3)+(($C$9-$C$6/$C$7*$C$10)*C27+$C$10*($C$7-$C$6)/$C$7*$B$8*$G$4)*($C$5/2-$C$6)</f>
        <v>134.97180657703834</v>
      </c>
    </row>
    <row r="28" spans="1:10" ht="12.75">
      <c r="A28" s="2">
        <v>3</v>
      </c>
      <c r="B28" s="5">
        <f t="shared" si="8"/>
        <v>215.475</v>
      </c>
      <c r="C28" s="17">
        <f t="shared" si="9"/>
        <v>215475</v>
      </c>
      <c r="D28" s="3">
        <f t="shared" si="10"/>
        <v>40830.35714285714</v>
      </c>
      <c r="E28" s="17">
        <f>-$B$8*$G$4*($C$7-$C$6)/$C$7+C28*$C$6/$C$7</f>
        <v>-103001.78571428571</v>
      </c>
      <c r="F28" s="7">
        <f>$G$4/(C28/$B$8+$G$4)*$C$7</f>
        <v>0.20817843866171004</v>
      </c>
      <c r="G28" s="5">
        <f>-$C$4*F28/2*$G$4+$C$9*C28+$C$10*E28</f>
        <v>-111.75358072225174</v>
      </c>
      <c r="H28" s="5">
        <f>$C$4*F28/2*$G$4*($C$5/2-F28/3)+($C$9*C28-$C$10*E28)*($C$5/2-$C$6)</f>
        <v>133.30126987199102</v>
      </c>
      <c r="I28" s="5">
        <f>-$C$4*$C$7/2*$G$4^2/(C28/$B$8+$G$4)+($C$9+$C$6/$C$7*$C$10)*C28-$C$10*($C$7-$C$6)/$C$7*$B$8*$G$4</f>
        <v>-111.75358072225174</v>
      </c>
      <c r="J28" s="5">
        <f>$C$4*$C$7/2*$G$4^2/(C28/$B$8+$G$4)*($C$5/2-$G$4/(C28/$B$8+$G$4)*$C$7/3)+(($C$9-$C$6/$C$7*$C$10)*C28+$C$10*($C$7-$C$6)/$C$7*$B$8*$G$4)*($C$5/2-$C$6)</f>
        <v>133.30126987199102</v>
      </c>
    </row>
    <row r="29" spans="1:10" ht="12.75">
      <c r="A29" s="2">
        <v>4</v>
      </c>
      <c r="B29" s="5">
        <f t="shared" si="8"/>
        <v>202.3</v>
      </c>
      <c r="C29" s="17">
        <f t="shared" si="9"/>
        <v>202300</v>
      </c>
      <c r="D29" s="3">
        <f t="shared" si="10"/>
        <v>39261.904761904756</v>
      </c>
      <c r="E29" s="17">
        <f>-$B$8*$G$4*($C$7-$C$6)/$C$7+C29*$C$6/$C$7</f>
        <v>-103942.85714285713</v>
      </c>
      <c r="F29" s="7">
        <f>$G$4/(C29/$B$8+$G$4)*$C$7</f>
        <v>0.2164948453608248</v>
      </c>
      <c r="G29" s="5">
        <f>-$C$4*F29/2*$G$4+$C$9*C29+$C$10*E29</f>
        <v>-136.09664212076586</v>
      </c>
      <c r="H29" s="5">
        <f>$C$4*F29/2*$G$4*($C$5/2-F29/3)+($C$9*C29-$C$10*E29)*($C$5/2-$C$6)</f>
        <v>131.70260638598305</v>
      </c>
      <c r="I29" s="5">
        <f>-$C$4*$C$7/2*$G$4^2/(C29/$B$8+$G$4)+($C$9+$C$6/$C$7*$C$10)*C29-$C$10*($C$7-$C$6)/$C$7*$B$8*$G$4</f>
        <v>-136.09664212076584</v>
      </c>
      <c r="J29" s="5">
        <f>$C$4*$C$7/2*$G$4^2/(C29/$B$8+$G$4)*($C$5/2-$G$4/(C29/$B$8+$G$4)*$C$7/3)+(($C$9-$C$6/$C$7*$C$10)*C29+$C$10*($C$7-$C$6)/$C$7*$B$8*$G$4)*($C$5/2-$C$6)</f>
        <v>131.70260638598302</v>
      </c>
    </row>
    <row r="30" spans="1:10" ht="12.75">
      <c r="A30" s="2">
        <v>5</v>
      </c>
      <c r="B30" s="5">
        <f t="shared" si="8"/>
        <v>189.125</v>
      </c>
      <c r="C30" s="17">
        <f t="shared" si="9"/>
        <v>189125</v>
      </c>
      <c r="D30" s="3">
        <f t="shared" si="10"/>
        <v>37693.45238095238</v>
      </c>
      <c r="E30" s="17">
        <f aca="true" t="shared" si="11" ref="E30:E37">-$B$8*$G$4*($C$7-$C$6)/$C$7+C30*$C$6/$C$7</f>
        <v>-104883.92857142857</v>
      </c>
      <c r="F30" s="7">
        <f aca="true" t="shared" si="12" ref="F30:F37">$G$4/(C30/$B$8+$G$4)*$C$7</f>
        <v>0.22550335570469798</v>
      </c>
      <c r="G30" s="5">
        <f aca="true" t="shared" si="13" ref="G30:G37">-$C$4*F30/2*$G$4+$C$9*C30+$C$10*E30</f>
        <v>-161.32213566634704</v>
      </c>
      <c r="H30" s="5">
        <f aca="true" t="shared" si="14" ref="H30:H37">$C$4*F30/2*$G$4*($C$5/2-F30/3)+($C$9*C30-$C$10*E30)*($C$5/2-$C$6)</f>
        <v>130.17742695470605</v>
      </c>
      <c r="I30" s="5">
        <f aca="true" t="shared" si="15" ref="I30:I37">-$C$4*$C$7/2*$G$4^2/(C30/$B$8+$G$4)+($C$9+$C$6/$C$7*$C$10)*C30-$C$10*($C$7-$C$6)/$C$7*$B$8*$G$4</f>
        <v>-161.32213566634704</v>
      </c>
      <c r="J30" s="5">
        <f aca="true" t="shared" si="16" ref="J30:J37">$C$4*$C$7/2*$G$4^2/(C30/$B$8+$G$4)*($C$5/2-$G$4/(C30/$B$8+$G$4)*$C$7/3)+(($C$9-$C$6/$C$7*$C$10)*C30+$C$10*($C$7-$C$6)/$C$7*$B$8*$G$4)*($C$5/2-$C$6)</f>
        <v>130.17742695470605</v>
      </c>
    </row>
    <row r="31" spans="1:10" ht="12.75">
      <c r="A31" s="2">
        <v>6</v>
      </c>
      <c r="B31" s="5">
        <f t="shared" si="8"/>
        <v>175.95</v>
      </c>
      <c r="C31" s="17">
        <f t="shared" si="9"/>
        <v>175950</v>
      </c>
      <c r="D31" s="3">
        <f t="shared" si="10"/>
        <v>36125</v>
      </c>
      <c r="E31" s="17">
        <f t="shared" si="11"/>
        <v>-105824.99999999999</v>
      </c>
      <c r="F31" s="7">
        <f t="shared" si="12"/>
        <v>0.23529411764705885</v>
      </c>
      <c r="G31" s="5">
        <f t="shared" si="13"/>
        <v>-187.54499999999996</v>
      </c>
      <c r="H31" s="5">
        <f t="shared" si="14"/>
        <v>128.7262882352941</v>
      </c>
      <c r="I31" s="5">
        <f t="shared" si="15"/>
        <v>-187.545</v>
      </c>
      <c r="J31" s="5">
        <f t="shared" si="16"/>
        <v>128.7262882352941</v>
      </c>
    </row>
    <row r="32" spans="1:10" ht="12.75">
      <c r="A32" s="2">
        <v>7</v>
      </c>
      <c r="B32" s="5">
        <f t="shared" si="8"/>
        <v>162.775</v>
      </c>
      <c r="C32" s="17">
        <f t="shared" si="9"/>
        <v>162775</v>
      </c>
      <c r="D32" s="3">
        <f t="shared" si="10"/>
        <v>34556.54761904761</v>
      </c>
      <c r="E32" s="17">
        <f t="shared" si="11"/>
        <v>-106766.07142857142</v>
      </c>
      <c r="F32" s="7">
        <f t="shared" si="12"/>
        <v>0.24597364568081997</v>
      </c>
      <c r="G32" s="5">
        <f t="shared" si="13"/>
        <v>-214.90104110018825</v>
      </c>
      <c r="H32" s="5">
        <f t="shared" si="14"/>
        <v>127.3481370087275</v>
      </c>
      <c r="I32" s="5">
        <f t="shared" si="15"/>
        <v>-214.90104110018825</v>
      </c>
      <c r="J32" s="5">
        <f t="shared" si="16"/>
        <v>127.3481370087275</v>
      </c>
    </row>
    <row r="33" spans="1:10" ht="12.75">
      <c r="A33" s="2">
        <v>8</v>
      </c>
      <c r="B33" s="5">
        <f t="shared" si="8"/>
        <v>149.6</v>
      </c>
      <c r="C33" s="17">
        <f t="shared" si="9"/>
        <v>149600</v>
      </c>
      <c r="D33" s="3">
        <f t="shared" si="10"/>
        <v>32988.09523809524</v>
      </c>
      <c r="E33" s="17">
        <f t="shared" si="11"/>
        <v>-107707.14285714284</v>
      </c>
      <c r="F33" s="7">
        <f t="shared" si="12"/>
        <v>0.25766871165644173</v>
      </c>
      <c r="G33" s="5">
        <f t="shared" si="13"/>
        <v>-243.55189307624892</v>
      </c>
      <c r="H33" s="5">
        <f t="shared" si="14"/>
        <v>126.03950138345978</v>
      </c>
      <c r="I33" s="5">
        <f t="shared" si="15"/>
        <v>-243.55189307624883</v>
      </c>
      <c r="J33" s="5">
        <f t="shared" si="16"/>
        <v>126.03950138345976</v>
      </c>
    </row>
    <row r="34" spans="1:10" ht="12.75">
      <c r="A34" s="2">
        <v>9</v>
      </c>
      <c r="B34" s="5">
        <f t="shared" si="8"/>
        <v>136.425</v>
      </c>
      <c r="C34" s="17">
        <f t="shared" si="9"/>
        <v>136425</v>
      </c>
      <c r="D34" s="3">
        <f t="shared" si="10"/>
        <v>31419.642857142855</v>
      </c>
      <c r="E34" s="17">
        <f t="shared" si="11"/>
        <v>-108648.21428571428</v>
      </c>
      <c r="F34" s="7">
        <f t="shared" si="12"/>
        <v>0.2705314009661836</v>
      </c>
      <c r="G34" s="5">
        <f t="shared" si="13"/>
        <v>-273.69146480331267</v>
      </c>
      <c r="H34" s="5">
        <f t="shared" si="14"/>
        <v>124.79330576192811</v>
      </c>
      <c r="I34" s="5">
        <f t="shared" si="15"/>
        <v>-273.6914648033126</v>
      </c>
      <c r="J34" s="5">
        <f t="shared" si="16"/>
        <v>124.7933057619281</v>
      </c>
    </row>
    <row r="35" spans="1:10" ht="12.75">
      <c r="A35" s="2">
        <v>10</v>
      </c>
      <c r="B35" s="5">
        <f t="shared" si="8"/>
        <v>123.25</v>
      </c>
      <c r="C35" s="17">
        <f t="shared" si="9"/>
        <v>123250</v>
      </c>
      <c r="D35" s="3">
        <f t="shared" si="10"/>
        <v>29851.19047619047</v>
      </c>
      <c r="E35" s="17">
        <f t="shared" si="11"/>
        <v>-109589.28571428571</v>
      </c>
      <c r="F35" s="7">
        <f t="shared" si="12"/>
        <v>0.28474576271186447</v>
      </c>
      <c r="G35" s="5">
        <f t="shared" si="13"/>
        <v>-305.5544188861986</v>
      </c>
      <c r="H35" s="5">
        <f t="shared" si="14"/>
        <v>123.59711932121313</v>
      </c>
      <c r="I35" s="5">
        <f t="shared" si="15"/>
        <v>-305.5544188861986</v>
      </c>
      <c r="J35" s="5">
        <f t="shared" si="16"/>
        <v>123.59711932121313</v>
      </c>
    </row>
    <row r="36" spans="1:10" ht="12.75">
      <c r="A36" s="2">
        <v>11</v>
      </c>
      <c r="B36" s="5">
        <f t="shared" si="8"/>
        <v>110.07499999999999</v>
      </c>
      <c r="C36" s="17">
        <f t="shared" si="9"/>
        <v>110074.99999999999</v>
      </c>
      <c r="D36" s="3">
        <f t="shared" si="10"/>
        <v>28282.73809523809</v>
      </c>
      <c r="E36" s="17">
        <f t="shared" si="11"/>
        <v>-110530.35714285713</v>
      </c>
      <c r="F36" s="7">
        <f t="shared" si="12"/>
        <v>0.30053667262969597</v>
      </c>
      <c r="G36" s="5">
        <f t="shared" si="13"/>
        <v>-339.42747188857663</v>
      </c>
      <c r="H36" s="5">
        <f t="shared" si="14"/>
        <v>122.43053906712956</v>
      </c>
      <c r="I36" s="5">
        <f t="shared" si="15"/>
        <v>-339.4274718885766</v>
      </c>
      <c r="J36" s="5">
        <f t="shared" si="16"/>
        <v>122.43053906712953</v>
      </c>
    </row>
    <row r="37" spans="1:10" ht="12.75">
      <c r="A37" s="2">
        <v>12</v>
      </c>
      <c r="B37" s="5">
        <f t="shared" si="8"/>
        <v>96.9</v>
      </c>
      <c r="C37" s="17">
        <f t="shared" si="9"/>
        <v>96900</v>
      </c>
      <c r="D37" s="3">
        <f t="shared" si="10"/>
        <v>26714.28571428571</v>
      </c>
      <c r="E37" s="17">
        <f t="shared" si="11"/>
        <v>-111471.42857142857</v>
      </c>
      <c r="F37" s="7">
        <f t="shared" si="12"/>
        <v>0.31818181818181823</v>
      </c>
      <c r="G37" s="5">
        <f t="shared" si="13"/>
        <v>-375.6646753246754</v>
      </c>
      <c r="H37" s="5">
        <f t="shared" si="14"/>
        <v>121.26122880755608</v>
      </c>
      <c r="I37" s="5">
        <f t="shared" si="15"/>
        <v>-375.66467532467533</v>
      </c>
      <c r="J37" s="5">
        <f t="shared" si="16"/>
        <v>121.26122880755607</v>
      </c>
    </row>
    <row r="38" spans="1:10" ht="12.75">
      <c r="A38" s="2">
        <v>13</v>
      </c>
      <c r="B38" s="5">
        <f t="shared" si="8"/>
        <v>83.725</v>
      </c>
      <c r="C38" s="17">
        <f t="shared" si="9"/>
        <v>83725</v>
      </c>
      <c r="D38" s="3">
        <f t="shared" si="10"/>
        <v>25145.833333333332</v>
      </c>
      <c r="E38" s="17">
        <f aca="true" t="shared" si="17" ref="E38:E45">-$B$8*$G$4*($C$7-$C$6)/$C$7+C38*$C$6/$C$7</f>
        <v>-112412.49999999999</v>
      </c>
      <c r="F38" s="7">
        <f aca="true" t="shared" si="18" ref="F38:F45">$G$4/(C38/$B$8+$G$4)*$C$7</f>
        <v>0.3380281690140845</v>
      </c>
      <c r="G38" s="5">
        <f aca="true" t="shared" si="19" ref="G38:G45">-$C$4*F38/2*$G$4+$C$9*C38+$C$10*E38</f>
        <v>-414.70841549295767</v>
      </c>
      <c r="H38" s="5">
        <f aca="true" t="shared" si="20" ref="H38:H45">$C$4*F38/2*$G$4*($C$5/2-F38/3)+($C$9*C38-$C$10*E38)*($C$5/2-$C$6)</f>
        <v>120.03883135290616</v>
      </c>
      <c r="I38" s="5">
        <f aca="true" t="shared" si="21" ref="I38:I45">-$C$4*$C$7/2*$G$4^2/(C38/$B$8+$G$4)+($C$9+$C$6/$C$7*$C$10)*C38-$C$10*($C$7-$C$6)/$C$7*$B$8*$G$4</f>
        <v>-414.70841549295767</v>
      </c>
      <c r="J38" s="5">
        <f aca="true" t="shared" si="22" ref="J38:J45">$C$4*$C$7/2*$G$4^2/(C38/$B$8+$G$4)*($C$5/2-$G$4/(C38/$B$8+$G$4)*$C$7/3)+(($C$9-$C$6/$C$7*$C$10)*C38+$C$10*($C$7-$C$6)/$C$7*$B$8*$G$4)*($C$5/2-$C$6)</f>
        <v>120.03883135290616</v>
      </c>
    </row>
    <row r="39" spans="1:10" ht="12.75">
      <c r="A39" s="2">
        <v>14</v>
      </c>
      <c r="B39" s="5">
        <f t="shared" si="8"/>
        <v>70.55000000000001</v>
      </c>
      <c r="C39" s="17">
        <f t="shared" si="9"/>
        <v>70550.00000000001</v>
      </c>
      <c r="D39" s="3">
        <f t="shared" si="10"/>
        <v>23577.38095238095</v>
      </c>
      <c r="E39" s="17">
        <f t="shared" si="17"/>
        <v>-113353.57142857142</v>
      </c>
      <c r="F39" s="7">
        <f t="shared" si="18"/>
        <v>0.36051502145922754</v>
      </c>
      <c r="G39" s="5">
        <f t="shared" si="19"/>
        <v>-457.118795217658</v>
      </c>
      <c r="H39" s="5">
        <f t="shared" si="20"/>
        <v>118.68544355446909</v>
      </c>
      <c r="I39" s="5">
        <f t="shared" si="21"/>
        <v>-457.11879521765786</v>
      </c>
      <c r="J39" s="5">
        <f t="shared" si="22"/>
        <v>118.68544355446906</v>
      </c>
    </row>
    <row r="40" spans="1:10" ht="12.75">
      <c r="A40" s="2">
        <v>15</v>
      </c>
      <c r="B40" s="5">
        <f t="shared" si="8"/>
        <v>57.375</v>
      </c>
      <c r="C40" s="17">
        <f t="shared" si="9"/>
        <v>57375</v>
      </c>
      <c r="D40" s="3">
        <f t="shared" si="10"/>
        <v>22008.92857142857</v>
      </c>
      <c r="E40" s="17">
        <f t="shared" si="17"/>
        <v>-114294.64285714284</v>
      </c>
      <c r="F40" s="7">
        <f t="shared" si="18"/>
        <v>0.3862068965517242</v>
      </c>
      <c r="G40" s="5">
        <f t="shared" si="19"/>
        <v>-503.615578817734</v>
      </c>
      <c r="H40" s="5">
        <f t="shared" si="20"/>
        <v>117.08040126550024</v>
      </c>
      <c r="I40" s="5">
        <f t="shared" si="21"/>
        <v>-503.61557881773393</v>
      </c>
      <c r="J40" s="5">
        <f t="shared" si="22"/>
        <v>117.08040126550023</v>
      </c>
    </row>
    <row r="41" spans="1:10" ht="12.75">
      <c r="A41" s="2">
        <v>16</v>
      </c>
      <c r="B41" s="5">
        <f t="shared" si="8"/>
        <v>44.19999999999999</v>
      </c>
      <c r="C41" s="17">
        <f t="shared" si="9"/>
        <v>44199.999999999985</v>
      </c>
      <c r="D41" s="3">
        <f t="shared" si="10"/>
        <v>20440.476190476187</v>
      </c>
      <c r="E41" s="17">
        <f t="shared" si="17"/>
        <v>-115235.71428571428</v>
      </c>
      <c r="F41" s="7">
        <f t="shared" si="18"/>
        <v>0.4158415841584159</v>
      </c>
      <c r="G41" s="5">
        <f t="shared" si="19"/>
        <v>-555.1394483734088</v>
      </c>
      <c r="H41" s="5">
        <f t="shared" si="20"/>
        <v>115.03538254512861</v>
      </c>
      <c r="I41" s="5">
        <f t="shared" si="21"/>
        <v>-555.1394483734088</v>
      </c>
      <c r="J41" s="5">
        <f t="shared" si="22"/>
        <v>115.03538254512861</v>
      </c>
    </row>
    <row r="42" spans="1:10" ht="12.75">
      <c r="A42" s="2">
        <v>17</v>
      </c>
      <c r="B42" s="5">
        <f t="shared" si="8"/>
        <v>31.025000000000006</v>
      </c>
      <c r="C42" s="17">
        <f t="shared" si="9"/>
        <v>31025.000000000007</v>
      </c>
      <c r="D42" s="3">
        <f t="shared" si="10"/>
        <v>18872.02380952381</v>
      </c>
      <c r="E42" s="17">
        <f t="shared" si="17"/>
        <v>-116176.7857142857</v>
      </c>
      <c r="F42" s="7">
        <f t="shared" si="18"/>
        <v>0.450402144772118</v>
      </c>
      <c r="G42" s="5">
        <f t="shared" si="19"/>
        <v>-612.9438060130218</v>
      </c>
      <c r="H42" s="5">
        <f t="shared" si="20"/>
        <v>112.25250984025102</v>
      </c>
      <c r="I42" s="5">
        <f t="shared" si="21"/>
        <v>-612.9438060130219</v>
      </c>
      <c r="J42" s="5">
        <f t="shared" si="22"/>
        <v>112.25250984025102</v>
      </c>
    </row>
    <row r="43" spans="1:10" ht="12.75">
      <c r="A43" s="2">
        <v>18</v>
      </c>
      <c r="B43" s="5">
        <f t="shared" si="8"/>
        <v>17.849999999999994</v>
      </c>
      <c r="C43" s="17">
        <f t="shared" si="9"/>
        <v>17849.999999999993</v>
      </c>
      <c r="D43" s="3">
        <f t="shared" si="10"/>
        <v>17303.571428571428</v>
      </c>
      <c r="E43" s="17">
        <f t="shared" si="17"/>
        <v>-117117.85714285713</v>
      </c>
      <c r="F43" s="7">
        <f t="shared" si="18"/>
        <v>0.4912280701754386</v>
      </c>
      <c r="G43" s="5">
        <f t="shared" si="19"/>
        <v>-678.7365037593985</v>
      </c>
      <c r="H43" s="5">
        <f t="shared" si="20"/>
        <v>108.25149036186957</v>
      </c>
      <c r="I43" s="5">
        <f t="shared" si="21"/>
        <v>-678.7365037593984</v>
      </c>
      <c r="J43" s="5">
        <f t="shared" si="22"/>
        <v>108.25149036186956</v>
      </c>
    </row>
    <row r="44" spans="1:10" ht="12.75">
      <c r="A44" s="2">
        <v>19</v>
      </c>
      <c r="B44" s="5">
        <f t="shared" si="8"/>
        <v>4.675000000000011</v>
      </c>
      <c r="C44" s="17">
        <f t="shared" si="9"/>
        <v>4675.000000000011</v>
      </c>
      <c r="D44" s="3">
        <f t="shared" si="10"/>
        <v>15735.119047619048</v>
      </c>
      <c r="E44" s="17">
        <f t="shared" si="17"/>
        <v>-118058.92857142857</v>
      </c>
      <c r="F44" s="7">
        <f t="shared" si="18"/>
        <v>0.5401929260450161</v>
      </c>
      <c r="G44" s="5">
        <f t="shared" si="19"/>
        <v>-754.9063378502527</v>
      </c>
      <c r="H44" s="5">
        <f t="shared" si="20"/>
        <v>102.23791819600412</v>
      </c>
      <c r="I44" s="5">
        <f t="shared" si="21"/>
        <v>-754.9063378502524</v>
      </c>
      <c r="J44" s="5">
        <f t="shared" si="22"/>
        <v>102.23791819600409</v>
      </c>
    </row>
    <row r="45" spans="1:10" ht="12.75">
      <c r="A45" s="2">
        <v>20</v>
      </c>
      <c r="B45" s="5">
        <f>-$B$8*$F$4*$C$6/$C$5</f>
        <v>-8.500000000000002</v>
      </c>
      <c r="C45" s="17">
        <f t="shared" si="9"/>
        <v>-8500.000000000002</v>
      </c>
      <c r="D45" s="3">
        <f t="shared" si="10"/>
        <v>14166.666666666664</v>
      </c>
      <c r="E45" s="17">
        <f t="shared" si="17"/>
        <v>-118999.99999999999</v>
      </c>
      <c r="F45" s="7">
        <f t="shared" si="18"/>
        <v>0.6000000000000001</v>
      </c>
      <c r="G45" s="5">
        <f t="shared" si="19"/>
        <v>-844.9000000000001</v>
      </c>
      <c r="H45" s="5">
        <f t="shared" si="20"/>
        <v>92.85399999999997</v>
      </c>
      <c r="I45" s="5">
        <f t="shared" si="21"/>
        <v>-844.9000000000001</v>
      </c>
      <c r="J45" s="5">
        <f t="shared" si="22"/>
        <v>92.85399999999996</v>
      </c>
    </row>
    <row r="47" spans="1:10" ht="12.75">
      <c r="A47" s="2" t="s">
        <v>120</v>
      </c>
      <c r="B47" s="15" t="s">
        <v>121</v>
      </c>
      <c r="C47" s="2" t="s">
        <v>111</v>
      </c>
      <c r="D47" s="2" t="s">
        <v>115</v>
      </c>
      <c r="E47" s="15" t="s">
        <v>112</v>
      </c>
      <c r="F47" s="15" t="s">
        <v>122</v>
      </c>
      <c r="G47" s="2" t="s">
        <v>35</v>
      </c>
      <c r="H47" s="2" t="s">
        <v>23</v>
      </c>
      <c r="I47" s="2" t="s">
        <v>35</v>
      </c>
      <c r="J47" s="2" t="s">
        <v>23</v>
      </c>
    </row>
    <row r="48" spans="1:10" ht="12.75">
      <c r="A48" s="2">
        <v>0</v>
      </c>
      <c r="B48" s="5">
        <f>$B$50*A48/$A$50</f>
        <v>0</v>
      </c>
      <c r="C48" s="17">
        <f>B48*1000</f>
        <v>0</v>
      </c>
      <c r="D48" s="3">
        <f>(C48+$G$4)/$C$5</f>
        <v>14166.666666666668</v>
      </c>
      <c r="E48" s="17">
        <f>$B$8*(-$G$4*$C$7/$C$5+C48*$C$6/$C$5)</f>
        <v>-119000.00000000001</v>
      </c>
      <c r="F48" s="17">
        <f>$B$8*(-$G$4*$C$6/$C$5+C48*$C$7/$C$5)</f>
        <v>-8500.000000000002</v>
      </c>
      <c r="G48" s="5">
        <f>$C$4*$C$5/2*(-$G$4+C48)+$C$9*F48+$C$10*E48</f>
        <v>-844.9</v>
      </c>
      <c r="H48" s="5">
        <f>$C$4*$C$5^2/12*($G$4+C48)+($C$9*F48-$C$10*E48)*($C$5/2-$C$6)</f>
        <v>92.854</v>
      </c>
      <c r="I48" s="5">
        <f>$C$4*$C$5/2*(-$G$4+C48)-($C$9*$C$6/$C$5+$C$10*$C$7/$C$5)*$B$8*$G$4+($C$9*$C$7/$C$5+$C$10*$C$6/$C$5)*$B$8*C48</f>
        <v>-844.9</v>
      </c>
      <c r="J48" s="5">
        <f>$C$4*$C$5^2/12*($G$4+C48)+((-$C$9*$C$6/$C$5+$C$10*$C$7/$C$5)*$B$8*$G$4+($C$9*$C$7/$C$5-$C$10*$C$6/$C$5)*$B$8*C48)*($C$5/2-$C$6)</f>
        <v>92.854</v>
      </c>
    </row>
    <row r="49" spans="1:10" ht="12.75">
      <c r="A49" s="2">
        <v>5</v>
      </c>
      <c r="B49" s="5">
        <f>$B$50*A49/$A$50</f>
        <v>-1.7633843212237097</v>
      </c>
      <c r="C49" s="17">
        <f>B49*1000</f>
        <v>-1763.3843212237098</v>
      </c>
      <c r="D49" s="3">
        <f>(C49+$G$4)/$C$5</f>
        <v>11227.692797960484</v>
      </c>
      <c r="E49" s="17">
        <f>$B$8*(-$G$4*$C$7/$C$5+C49*$C$6/$C$5)</f>
        <v>-120763.38432122373</v>
      </c>
      <c r="F49" s="17">
        <f>$B$8*(-$G$4*$C$6/$C$5+C49*$C$7/$C$5)</f>
        <v>-33187.38049713194</v>
      </c>
      <c r="G49" s="5">
        <f>$C$4*$C$5/2*(-$G$4+C49)+$C$9*F49+$C$10*E49</f>
        <v>-1029.35</v>
      </c>
      <c r="H49" s="5">
        <f>$C$4*$C$5^2/12*($G$4+C49)+($C$9*F49-$C$10*E49)*($C$5/2-$C$6)</f>
        <v>70.8399101338432</v>
      </c>
      <c r="I49" s="5">
        <f>$C$4*$C$5/2*(-$G$4+C49)-($C$9*$C$6/$C$5+$C$10*$C$7/$C$5)*$B$8*$G$4+($C$9*$C$7/$C$5+$C$10*$C$6/$C$5)*$B$8*C49</f>
        <v>-1029.35</v>
      </c>
      <c r="J49" s="5">
        <f>$C$4*$C$5^2/12*($G$4+C49)+((-$C$9*$C$6/$C$5+$C$10*$C$7/$C$5)*$B$8*$G$4+($C$9*$C$7/$C$5-$C$10*$C$6/$C$5)*$B$8*C49)*($C$5/2-$C$6)</f>
        <v>70.8399101338432</v>
      </c>
    </row>
    <row r="50" spans="1:10" ht="12.75">
      <c r="A50" s="2">
        <v>10</v>
      </c>
      <c r="B50" s="5">
        <f>-(0.2*C5+B53)/(0.5*C5+B53)*F4</f>
        <v>-3.526768642447419</v>
      </c>
      <c r="C50" s="17">
        <f>B50*1000</f>
        <v>-3526.768642447419</v>
      </c>
      <c r="D50" s="3">
        <f>(C50+$G$4)/$C$5</f>
        <v>8288.7189292543</v>
      </c>
      <c r="E50" s="17">
        <f>$B$8*(-$G$4*$C$7/$C$5+C50*$C$6/$C$5)</f>
        <v>-122526.76864244742</v>
      </c>
      <c r="F50" s="17">
        <f>$B$8*(-$G$4*$C$6/$C$5+C50*$C$7/$C$5)</f>
        <v>-57874.76099426388</v>
      </c>
      <c r="G50" s="5">
        <f>$C$4*$C$5/2*(-$G$4+C50)+$C$9*F50+$C$10*E50</f>
        <v>-1213.8000000000002</v>
      </c>
      <c r="H50" s="5">
        <f>$C$4*$C$5^2/12*($G$4+C50)+($C$9*F50-$C$10*E50)*($C$5/2-$C$6)</f>
        <v>48.82582026768641</v>
      </c>
      <c r="I50" s="5">
        <f>$C$4*$C$5/2*(-$G$4+C50)-($C$9*$C$6/$C$5+$C$10*$C$7/$C$5)*$B$8*$G$4+($C$9*$C$7/$C$5+$C$10*$C$6/$C$5)*$B$8*C50</f>
        <v>-1213.8000000000002</v>
      </c>
      <c r="J50" s="5">
        <f>$C$4*$C$5^2/12*($G$4+C50)+((-$C$9*$C$6/$C$5+$C$10*$C$7/$C$5)*$B$8*$G$4+($C$9*$C$7/$C$5-$C$10*$C$6/$C$5)*$B$8*C50)*($C$5/2-$C$6)</f>
        <v>48.82582026768641</v>
      </c>
    </row>
    <row r="51" spans="2:10" ht="12.75">
      <c r="B51" s="5"/>
      <c r="C51" s="17"/>
      <c r="D51" s="3"/>
      <c r="E51" s="17"/>
      <c r="F51" s="17"/>
      <c r="G51" s="5">
        <f>G50</f>
        <v>-1213.8000000000002</v>
      </c>
      <c r="H51" s="5">
        <f>(-C9+C10)*B8*G4*0.7*(C5/2-C6)</f>
        <v>-9.282000000000002</v>
      </c>
      <c r="I51" s="5"/>
      <c r="J51" s="5"/>
    </row>
    <row r="52" spans="2:10" ht="12.75">
      <c r="B52" s="5">
        <v>-8.5</v>
      </c>
      <c r="C52" s="17">
        <f>B52*1000</f>
        <v>-8500</v>
      </c>
      <c r="D52" s="3">
        <f>(C52+$G$4)/$C$5</f>
        <v>0</v>
      </c>
      <c r="E52" s="17">
        <f>$B$8*(-$G$4*$C$7/$C$5+C52*$C$6/$C$5)</f>
        <v>-127500</v>
      </c>
      <c r="F52" s="17">
        <f>$B$8*(-$G$4*$C$6/$C$5+C52*$C$7/$C$5)</f>
        <v>-127500</v>
      </c>
      <c r="G52" s="5">
        <f>$C$4*$C$5/2*(-$G$4+C52)+$C$9*F52+$C$10*E52</f>
        <v>-1734</v>
      </c>
      <c r="H52" s="5">
        <f>$C$4*$C$5^2/12*($G$4+C52)+($C$9*F52-$C$10*E52)*($C$5/2-$C$6)</f>
        <v>-13.26</v>
      </c>
      <c r="I52" s="5">
        <f>$C$4*$C$5/2*(-$G$4+C52)-($C$9*$C$6/$C$5+$C$10*$C$7/$C$5)*$B$8*$G$4+($C$9*$C$7/$C$5+$C$10*$C$6/$C$5)*$B$8*C52</f>
        <v>-1734</v>
      </c>
      <c r="J52" s="5">
        <f>$C$4*$C$5^2/12*($G$4+C52)+((-$C$9*$C$6/$C$5+$C$10*$C$7/$C$5)*$B$8*$G$4+($C$9*$C$7/$C$5-$C$10*$C$6/$C$5)*$B$8*C52)*($C$5/2-$C$6)</f>
        <v>-13.260000000000009</v>
      </c>
    </row>
    <row r="53" spans="1:2" ht="12.75">
      <c r="A53" s="2" t="s">
        <v>128</v>
      </c>
      <c r="B53" s="2">
        <f>B8*(C9-C10)/(C4*C5+B8*C9+B8*C10)*(C5/2-C6)</f>
        <v>0.007647058823529413</v>
      </c>
    </row>
    <row r="54" ht="12.75">
      <c r="B54" s="5"/>
    </row>
    <row r="55" ht="12.75">
      <c r="G55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pane ySplit="10" topLeftCell="BM11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123</v>
      </c>
    </row>
    <row r="2" ht="12.75">
      <c r="A2" s="1" t="s">
        <v>125</v>
      </c>
    </row>
    <row r="3" spans="2:7" ht="12.75">
      <c r="B3" s="2" t="s">
        <v>51</v>
      </c>
      <c r="C3" s="2" t="s">
        <v>52</v>
      </c>
      <c r="F3" s="2" t="s">
        <v>17</v>
      </c>
      <c r="G3" s="2" t="s">
        <v>111</v>
      </c>
    </row>
    <row r="4" spans="1:7" ht="12.75">
      <c r="A4" s="2" t="s">
        <v>2</v>
      </c>
      <c r="B4" s="2">
        <v>30</v>
      </c>
      <c r="C4" s="2">
        <f>B4/100</f>
        <v>0.3</v>
      </c>
      <c r="E4" s="15" t="s">
        <v>108</v>
      </c>
      <c r="F4" s="2">
        <v>8.5</v>
      </c>
      <c r="G4" s="2">
        <f>F4*1000</f>
        <v>8500</v>
      </c>
    </row>
    <row r="5" spans="1:7" ht="12.75">
      <c r="A5" s="2" t="s">
        <v>6</v>
      </c>
      <c r="B5" s="2">
        <v>60</v>
      </c>
      <c r="C5" s="2">
        <f>B5/100</f>
        <v>0.6</v>
      </c>
      <c r="E5" s="15" t="s">
        <v>109</v>
      </c>
      <c r="F5" s="2">
        <v>255</v>
      </c>
      <c r="G5" s="2">
        <f>F5*1000</f>
        <v>255000</v>
      </c>
    </row>
    <row r="6" spans="1:3" ht="12.75">
      <c r="A6" s="2" t="s">
        <v>8</v>
      </c>
      <c r="B6" s="2">
        <v>4</v>
      </c>
      <c r="C6" s="2">
        <f>B6/100</f>
        <v>0.04</v>
      </c>
    </row>
    <row r="7" spans="1:3" ht="12.75">
      <c r="A7" s="2" t="s">
        <v>13</v>
      </c>
      <c r="B7" s="2">
        <f>B5-B6</f>
        <v>56</v>
      </c>
      <c r="C7" s="2">
        <f>B7/100</f>
        <v>0.56</v>
      </c>
    </row>
    <row r="8" spans="1:2" ht="12.75">
      <c r="A8" s="2" t="s">
        <v>21</v>
      </c>
      <c r="B8" s="2">
        <v>15</v>
      </c>
    </row>
    <row r="9" spans="1:3" ht="12.75">
      <c r="A9" s="2" t="s">
        <v>10</v>
      </c>
      <c r="B9" s="2">
        <f>'Es 15 +'!B10</f>
        <v>6</v>
      </c>
      <c r="C9" s="2">
        <f>B9/10000</f>
        <v>0.0006</v>
      </c>
    </row>
    <row r="10" spans="1:3" ht="12.75">
      <c r="A10" s="2" t="s">
        <v>12</v>
      </c>
      <c r="B10" s="2">
        <f>'Es 15 +'!B9</f>
        <v>10</v>
      </c>
      <c r="C10" s="2">
        <f>B10/10000</f>
        <v>0.001</v>
      </c>
    </row>
    <row r="12" spans="1:10" ht="12.75">
      <c r="A12" s="2" t="s">
        <v>107</v>
      </c>
      <c r="B12" s="15" t="s">
        <v>110</v>
      </c>
      <c r="C12" s="2" t="s">
        <v>111</v>
      </c>
      <c r="D12" s="2" t="s">
        <v>116</v>
      </c>
      <c r="E12" s="15" t="s">
        <v>112</v>
      </c>
      <c r="G12" s="2" t="s">
        <v>35</v>
      </c>
      <c r="H12" s="2" t="s">
        <v>23</v>
      </c>
      <c r="I12" s="2" t="s">
        <v>35</v>
      </c>
      <c r="J12" s="2" t="s">
        <v>23</v>
      </c>
    </row>
    <row r="13" spans="2:10" ht="12.75">
      <c r="B13" s="2">
        <f>F5</f>
        <v>255</v>
      </c>
      <c r="C13" s="17">
        <f>B13*1000</f>
        <v>255000</v>
      </c>
      <c r="D13" s="2">
        <f>($G$5-C13)/$C$7</f>
        <v>0</v>
      </c>
      <c r="E13" s="17">
        <f>C13*($C$7-$C$6)/$C$7+$G$5*$C$6/$C$7</f>
        <v>254999.99999999997</v>
      </c>
      <c r="G13" s="5">
        <f>$C$9*$G$5+$C$10*E13</f>
        <v>408</v>
      </c>
      <c r="H13" s="5">
        <f>($C$9*$G$5-$C$10*E13)*($C$5/2-$C$6)</f>
        <v>-26.519999999999992</v>
      </c>
      <c r="I13" s="5">
        <f>($C$9+$C$6/$C$7*$C$10)*$G$5+$C$10*($C$7-$C$6)/$C$7*C13</f>
        <v>408</v>
      </c>
      <c r="J13" s="5">
        <f>(($C$9-$C$6/$C$7*$C$10)*$G$5-$C$10*($C$7-$C$6)/$C$7*C13)*($C$5/2-$C$6)</f>
        <v>-26.52</v>
      </c>
    </row>
    <row r="14" spans="2:10" ht="12.75">
      <c r="B14" s="2">
        <v>0</v>
      </c>
      <c r="C14" s="17">
        <f>B14*1000</f>
        <v>0</v>
      </c>
      <c r="D14" s="2">
        <f>($G$5-C14)/$C$7</f>
        <v>455357.14285714284</v>
      </c>
      <c r="E14" s="17">
        <f>C14*($C$7-$C$6)/$C$7+$G$5*$C$6/$C$7</f>
        <v>18214.285714285714</v>
      </c>
      <c r="G14" s="5">
        <f>$C$9*$G$5+$C$10*E14</f>
        <v>171.21428571428572</v>
      </c>
      <c r="H14" s="5">
        <f>($C$9*$G$5-$C$10*E14)*($C$5/2-$C$6)</f>
        <v>35.044285714285714</v>
      </c>
      <c r="I14" s="5">
        <f>($C$9+$C$6/$C$7*$C$10)*$G$5+$C$10*($C$7-$C$6)/$C$7*C14</f>
        <v>171.21428571428572</v>
      </c>
      <c r="J14" s="5">
        <f>(($C$9-$C$6/$C$7*$C$10)*$G$5-$C$10*($C$7-$C$6)/$C$7*C14)*($C$5/2-$C$6)</f>
        <v>35.044285714285714</v>
      </c>
    </row>
    <row r="16" spans="1:10" ht="12.75">
      <c r="A16" s="2" t="s">
        <v>113</v>
      </c>
      <c r="B16" s="15" t="s">
        <v>114</v>
      </c>
      <c r="C16" s="2" t="s">
        <v>111</v>
      </c>
      <c r="D16" s="2" t="s">
        <v>115</v>
      </c>
      <c r="E16" s="15" t="s">
        <v>112</v>
      </c>
      <c r="F16" s="2" t="s">
        <v>74</v>
      </c>
      <c r="G16" s="2" t="s">
        <v>35</v>
      </c>
      <c r="H16" s="2" t="s">
        <v>23</v>
      </c>
      <c r="I16" s="2" t="s">
        <v>35</v>
      </c>
      <c r="J16" s="2" t="s">
        <v>23</v>
      </c>
    </row>
    <row r="17" spans="1:10" ht="12.75">
      <c r="A17" s="2">
        <v>0</v>
      </c>
      <c r="B17" s="5">
        <f>$B$22*A17/$A$22</f>
        <v>0</v>
      </c>
      <c r="C17" s="17">
        <f aca="true" t="shared" si="0" ref="C17:C22">B17*1000</f>
        <v>0</v>
      </c>
      <c r="D17" s="3">
        <f aca="true" t="shared" si="1" ref="D17:D22">($G$5/$B$8-C17)/$C$7</f>
        <v>30357.142857142855</v>
      </c>
      <c r="E17" s="17">
        <f aca="true" t="shared" si="2" ref="E17:E22">$B$8*C17*($C$7-$C$6)/$C$7+$G$5*$C$6/$C$7</f>
        <v>18214.285714285714</v>
      </c>
      <c r="F17" s="7">
        <f aca="true" t="shared" si="3" ref="F17:F22">-C17/($G$5/$B$8-C17)*$C$7</f>
        <v>0</v>
      </c>
      <c r="G17" s="5">
        <f aca="true" t="shared" si="4" ref="G17:G22">$C$4*F17/2*C17+$C$9*$G$5+$C$10*E17</f>
        <v>171.21428571428572</v>
      </c>
      <c r="H17" s="5">
        <f aca="true" t="shared" si="5" ref="H17:H22">-$C$4*F17/2*C17*($C$5/2-F17/3)+($C$9*$G$5-$C$10*E17)*($C$5/2-$C$6)</f>
        <v>35.044285714285714</v>
      </c>
      <c r="I17" s="5">
        <f aca="true" t="shared" si="6" ref="I17:I22">-$C$4*$C$7/2*C17^2/($G$5/$B$8-C17)+($C$9+$C$6/$C$7*$C$10)*$G$5+$C$10*($C$7-$C$6)/$C$7*C17*$B$8</f>
        <v>171.21428571428572</v>
      </c>
      <c r="J17" s="5">
        <f aca="true" t="shared" si="7" ref="J17:J22">$C$4*$C$7/2*C17^2/($G$5/$B$8-C17)*($C$5/2+C17/($G$5/$B$8-C17)*$C$7/3)+(($C$9-$C$6/$C$7*$C$10)*$G$5-$C$10*($C$7-$C$6)/$C$7*C17*$B$8)*($C$5/2-$C$6)</f>
        <v>35.044285714285714</v>
      </c>
    </row>
    <row r="18" spans="1:10" ht="12.75">
      <c r="A18" s="2">
        <v>1</v>
      </c>
      <c r="B18" s="5">
        <f>$B$22*A18/$A$22</f>
        <v>-1.7</v>
      </c>
      <c r="C18" s="17">
        <f t="shared" si="0"/>
        <v>-1700</v>
      </c>
      <c r="D18" s="3">
        <f t="shared" si="1"/>
        <v>33392.85714285714</v>
      </c>
      <c r="E18" s="17">
        <f t="shared" si="2"/>
        <v>-5464.285714285714</v>
      </c>
      <c r="F18" s="7">
        <f t="shared" si="3"/>
        <v>0.05090909090909092</v>
      </c>
      <c r="G18" s="5">
        <f t="shared" si="4"/>
        <v>134.55389610389608</v>
      </c>
      <c r="H18" s="5">
        <f t="shared" si="5"/>
        <v>44.874962219598586</v>
      </c>
      <c r="I18" s="5">
        <f t="shared" si="6"/>
        <v>134.5538961038961</v>
      </c>
      <c r="J18" s="5">
        <f t="shared" si="7"/>
        <v>44.87496221959858</v>
      </c>
    </row>
    <row r="19" spans="1:10" ht="12.75">
      <c r="A19" s="2">
        <v>2</v>
      </c>
      <c r="B19" s="5">
        <f>$B$22*A19/$A$22</f>
        <v>-3.4</v>
      </c>
      <c r="C19" s="17">
        <f t="shared" si="0"/>
        <v>-3400</v>
      </c>
      <c r="D19" s="3">
        <f t="shared" si="1"/>
        <v>36428.57142857143</v>
      </c>
      <c r="E19" s="17">
        <f t="shared" si="2"/>
        <v>-29142.85714285714</v>
      </c>
      <c r="F19" s="7">
        <f t="shared" si="3"/>
        <v>0.09333333333333334</v>
      </c>
      <c r="G19" s="5">
        <f t="shared" si="4"/>
        <v>76.25714285714287</v>
      </c>
      <c r="H19" s="5">
        <f t="shared" si="5"/>
        <v>60.15625396825397</v>
      </c>
      <c r="I19" s="5">
        <f t="shared" si="6"/>
        <v>76.25714285714287</v>
      </c>
      <c r="J19" s="5">
        <f t="shared" si="7"/>
        <v>60.15625396825398</v>
      </c>
    </row>
    <row r="20" spans="1:10" ht="12.75">
      <c r="A20" s="2">
        <v>3</v>
      </c>
      <c r="B20" s="5">
        <f>$B$22*A20/$A$22</f>
        <v>-5.1</v>
      </c>
      <c r="C20" s="17">
        <f t="shared" si="0"/>
        <v>-5100</v>
      </c>
      <c r="D20" s="3">
        <f t="shared" si="1"/>
        <v>39464.28571428571</v>
      </c>
      <c r="E20" s="17">
        <f t="shared" si="2"/>
        <v>-52821.428571428565</v>
      </c>
      <c r="F20" s="7">
        <f t="shared" si="3"/>
        <v>0.12923076923076926</v>
      </c>
      <c r="G20" s="5">
        <f t="shared" si="4"/>
        <v>1.3170329670329437</v>
      </c>
      <c r="H20" s="5">
        <f t="shared" si="5"/>
        <v>78.91338207945901</v>
      </c>
      <c r="I20" s="5">
        <f t="shared" si="6"/>
        <v>1.3170329670329721</v>
      </c>
      <c r="J20" s="5">
        <f t="shared" si="7"/>
        <v>78.913382079459</v>
      </c>
    </row>
    <row r="21" spans="1:10" ht="12.75">
      <c r="A21" s="2">
        <v>4</v>
      </c>
      <c r="B21" s="5">
        <f>$B$22*A21/$A$22</f>
        <v>-6.8</v>
      </c>
      <c r="C21" s="17">
        <f t="shared" si="0"/>
        <v>-6800</v>
      </c>
      <c r="D21" s="3">
        <f t="shared" si="1"/>
        <v>42499.99999999999</v>
      </c>
      <c r="E21" s="17">
        <f t="shared" si="2"/>
        <v>-76500</v>
      </c>
      <c r="F21" s="7">
        <f t="shared" si="3"/>
        <v>0.16</v>
      </c>
      <c r="G21" s="5">
        <f t="shared" si="4"/>
        <v>-86.70000000000002</v>
      </c>
      <c r="H21" s="5">
        <f t="shared" si="5"/>
        <v>99.926</v>
      </c>
      <c r="I21" s="5">
        <f t="shared" si="6"/>
        <v>-86.7</v>
      </c>
      <c r="J21" s="5">
        <f t="shared" si="7"/>
        <v>99.926</v>
      </c>
    </row>
    <row r="22" spans="1:10" ht="12.75">
      <c r="A22" s="2">
        <v>5</v>
      </c>
      <c r="B22" s="5">
        <f>-$F$4</f>
        <v>-8.5</v>
      </c>
      <c r="C22" s="17">
        <f t="shared" si="0"/>
        <v>-8500</v>
      </c>
      <c r="D22" s="3">
        <f t="shared" si="1"/>
        <v>45535.71428571428</v>
      </c>
      <c r="E22" s="17">
        <f t="shared" si="2"/>
        <v>-100178.57142857142</v>
      </c>
      <c r="F22" s="7">
        <f t="shared" si="3"/>
        <v>0.18666666666666668</v>
      </c>
      <c r="G22" s="5">
        <f t="shared" si="4"/>
        <v>-185.17857142857142</v>
      </c>
      <c r="H22" s="5">
        <f t="shared" si="5"/>
        <v>122.41753968253967</v>
      </c>
      <c r="I22" s="5">
        <f t="shared" si="6"/>
        <v>-185.17857142857142</v>
      </c>
      <c r="J22" s="5">
        <f t="shared" si="7"/>
        <v>122.41753968253967</v>
      </c>
    </row>
    <row r="24" spans="1:10" ht="12.75">
      <c r="A24" s="2" t="s">
        <v>117</v>
      </c>
      <c r="B24" s="15" t="s">
        <v>118</v>
      </c>
      <c r="C24" s="2" t="s">
        <v>111</v>
      </c>
      <c r="D24" s="2" t="s">
        <v>115</v>
      </c>
      <c r="E24" s="15" t="s">
        <v>112</v>
      </c>
      <c r="F24" s="2" t="s">
        <v>74</v>
      </c>
      <c r="G24" s="2" t="s">
        <v>35</v>
      </c>
      <c r="H24" s="2" t="s">
        <v>23</v>
      </c>
      <c r="I24" s="2" t="s">
        <v>35</v>
      </c>
      <c r="J24" s="2" t="s">
        <v>23</v>
      </c>
    </row>
    <row r="25" spans="1:10" ht="12.75">
      <c r="A25" s="2">
        <v>0</v>
      </c>
      <c r="B25" s="5">
        <f aca="true" t="shared" si="8" ref="B25:B44">$F$5+($B$45-$F$5)*A25/$A$45</f>
        <v>255</v>
      </c>
      <c r="C25" s="17">
        <f aca="true" t="shared" si="9" ref="C25:C45">B25*1000</f>
        <v>255000</v>
      </c>
      <c r="D25" s="3">
        <f aca="true" t="shared" si="10" ref="D25:D45">(C25/$B$8+$G$4)/$C$7</f>
        <v>45535.71428571428</v>
      </c>
      <c r="E25" s="17">
        <f aca="true" t="shared" si="11" ref="E25:E45">-$B$8*$G$4*($C$7-$C$6)/$C$7+C25*$C$6/$C$7</f>
        <v>-100178.57142857142</v>
      </c>
      <c r="F25" s="7">
        <f aca="true" t="shared" si="12" ref="F25:F45">$G$4/(C25/$B$8+$G$4)*$C$7</f>
        <v>0.18666666666666668</v>
      </c>
      <c r="G25" s="5">
        <f aca="true" t="shared" si="13" ref="G25:G45">-$C$4*F25/2*$G$4+$C$9*C25+$C$10*E25</f>
        <v>-185.17857142857142</v>
      </c>
      <c r="H25" s="5">
        <f aca="true" t="shared" si="14" ref="H25:H45">$C$4*F25/2*$G$4*($C$5/2-F25/3)+($C$9*C25-$C$10*E25)*($C$5/2-$C$6)</f>
        <v>122.41753968253967</v>
      </c>
      <c r="I25" s="5">
        <f aca="true" t="shared" si="15" ref="I25:I45">-$C$4*$C$7/2*$G$4^2/(C25/$B$8+$G$4)+($C$9+$C$6/$C$7*$C$10)*C25-$C$10*($C$7-$C$6)/$C$7*$B$8*$G$4</f>
        <v>-185.17857142857144</v>
      </c>
      <c r="J25" s="5">
        <f aca="true" t="shared" si="16" ref="J25:J45">$C$4*$C$7/2*$G$4^2/(C25/$B$8+$G$4)*($C$5/2-$G$4/(C25/$B$8+$G$4)*$C$7/3)+(($C$9-$C$6/$C$7*$C$10)*C25+$C$10*($C$7-$C$6)/$C$7*$B$8*$G$4)*($C$5/2-$C$6)</f>
        <v>122.41753968253968</v>
      </c>
    </row>
    <row r="26" spans="1:10" ht="12.75">
      <c r="A26" s="2">
        <v>1</v>
      </c>
      <c r="B26" s="5">
        <f t="shared" si="8"/>
        <v>241.825</v>
      </c>
      <c r="C26" s="17">
        <f t="shared" si="9"/>
        <v>241825</v>
      </c>
      <c r="D26" s="3">
        <f t="shared" si="10"/>
        <v>43967.261904761894</v>
      </c>
      <c r="E26" s="17">
        <f t="shared" si="11"/>
        <v>-101119.64285714284</v>
      </c>
      <c r="F26" s="7">
        <f t="shared" si="12"/>
        <v>0.1933256616800921</v>
      </c>
      <c r="G26" s="5">
        <f t="shared" si="13"/>
        <v>-202.51486149926023</v>
      </c>
      <c r="H26" s="5">
        <f t="shared" si="14"/>
        <v>122.07857786327305</v>
      </c>
      <c r="I26" s="5">
        <f t="shared" si="15"/>
        <v>-202.5148614992603</v>
      </c>
      <c r="J26" s="5">
        <f t="shared" si="16"/>
        <v>122.07857786327305</v>
      </c>
    </row>
    <row r="27" spans="1:10" ht="12.75">
      <c r="A27" s="2">
        <v>2</v>
      </c>
      <c r="B27" s="5">
        <f t="shared" si="8"/>
        <v>228.65</v>
      </c>
      <c r="C27" s="17">
        <f t="shared" si="9"/>
        <v>228650</v>
      </c>
      <c r="D27" s="3">
        <f t="shared" si="10"/>
        <v>42398.80952380953</v>
      </c>
      <c r="E27" s="17">
        <f t="shared" si="11"/>
        <v>-102060.71428571428</v>
      </c>
      <c r="F27" s="7">
        <f t="shared" si="12"/>
        <v>0.20047732696897372</v>
      </c>
      <c r="G27" s="5">
        <f t="shared" si="13"/>
        <v>-220.47930617115577</v>
      </c>
      <c r="H27" s="5">
        <f t="shared" si="14"/>
        <v>121.80652086275262</v>
      </c>
      <c r="I27" s="5">
        <f t="shared" si="15"/>
        <v>-220.47930617115583</v>
      </c>
      <c r="J27" s="5">
        <f t="shared" si="16"/>
        <v>121.80652086275262</v>
      </c>
    </row>
    <row r="28" spans="1:10" ht="12.75">
      <c r="A28" s="2">
        <v>3</v>
      </c>
      <c r="B28" s="5">
        <f t="shared" si="8"/>
        <v>215.475</v>
      </c>
      <c r="C28" s="17">
        <f t="shared" si="9"/>
        <v>215475</v>
      </c>
      <c r="D28" s="3">
        <f t="shared" si="10"/>
        <v>40830.35714285714</v>
      </c>
      <c r="E28" s="17">
        <f t="shared" si="11"/>
        <v>-103001.78571428571</v>
      </c>
      <c r="F28" s="7">
        <f t="shared" si="12"/>
        <v>0.20817843866171004</v>
      </c>
      <c r="G28" s="5">
        <f t="shared" si="13"/>
        <v>-239.14429500796604</v>
      </c>
      <c r="H28" s="5">
        <f t="shared" si="14"/>
        <v>121.60405558627674</v>
      </c>
      <c r="I28" s="5">
        <f t="shared" si="15"/>
        <v>-239.14429500796604</v>
      </c>
      <c r="J28" s="5">
        <f t="shared" si="16"/>
        <v>121.60405558627674</v>
      </c>
    </row>
    <row r="29" spans="1:10" ht="12.75">
      <c r="A29" s="2">
        <v>4</v>
      </c>
      <c r="B29" s="5">
        <f t="shared" si="8"/>
        <v>202.3</v>
      </c>
      <c r="C29" s="17">
        <f t="shared" si="9"/>
        <v>202300</v>
      </c>
      <c r="D29" s="3">
        <f t="shared" si="10"/>
        <v>39261.904761904756</v>
      </c>
      <c r="E29" s="17">
        <f t="shared" si="11"/>
        <v>-103942.85714285713</v>
      </c>
      <c r="F29" s="7">
        <f t="shared" si="12"/>
        <v>0.2164948453608248</v>
      </c>
      <c r="G29" s="5">
        <f t="shared" si="13"/>
        <v>-258.59378497790874</v>
      </c>
      <c r="H29" s="5">
        <f t="shared" si="14"/>
        <v>121.47346352884017</v>
      </c>
      <c r="I29" s="5">
        <f t="shared" si="15"/>
        <v>-258.59378497790874</v>
      </c>
      <c r="J29" s="5">
        <f t="shared" si="16"/>
        <v>121.47346352884016</v>
      </c>
    </row>
    <row r="30" spans="1:10" ht="12.75">
      <c r="A30" s="2">
        <v>5</v>
      </c>
      <c r="B30" s="5">
        <f t="shared" si="8"/>
        <v>189.125</v>
      </c>
      <c r="C30" s="17">
        <f t="shared" si="9"/>
        <v>189125</v>
      </c>
      <c r="D30" s="3">
        <f t="shared" si="10"/>
        <v>37693.45238095238</v>
      </c>
      <c r="E30" s="17">
        <f t="shared" si="11"/>
        <v>-104883.92857142857</v>
      </c>
      <c r="F30" s="7">
        <f t="shared" si="12"/>
        <v>0.22550335570469798</v>
      </c>
      <c r="G30" s="5">
        <f t="shared" si="13"/>
        <v>-278.9257070949185</v>
      </c>
      <c r="H30" s="5">
        <f t="shared" si="14"/>
        <v>121.41635552613461</v>
      </c>
      <c r="I30" s="5">
        <f t="shared" si="15"/>
        <v>-278.9257070949185</v>
      </c>
      <c r="J30" s="5">
        <f t="shared" si="16"/>
        <v>121.41635552613461</v>
      </c>
    </row>
    <row r="31" spans="1:10" ht="12.75">
      <c r="A31" s="2">
        <v>6</v>
      </c>
      <c r="B31" s="5">
        <f t="shared" si="8"/>
        <v>175.95</v>
      </c>
      <c r="C31" s="17">
        <f t="shared" si="9"/>
        <v>175950</v>
      </c>
      <c r="D31" s="3">
        <f t="shared" si="10"/>
        <v>36125</v>
      </c>
      <c r="E31" s="17">
        <f t="shared" si="11"/>
        <v>-105824.99999999999</v>
      </c>
      <c r="F31" s="7">
        <f t="shared" si="12"/>
        <v>0.23529411764705885</v>
      </c>
      <c r="G31" s="5">
        <f t="shared" si="13"/>
        <v>-300.255</v>
      </c>
      <c r="H31" s="5">
        <f t="shared" si="14"/>
        <v>121.43328823529411</v>
      </c>
      <c r="I31" s="5">
        <f t="shared" si="15"/>
        <v>-300.255</v>
      </c>
      <c r="J31" s="5">
        <f t="shared" si="16"/>
        <v>121.43328823529411</v>
      </c>
    </row>
    <row r="32" spans="1:10" ht="12.75">
      <c r="A32" s="2">
        <v>7</v>
      </c>
      <c r="B32" s="5">
        <f t="shared" si="8"/>
        <v>162.775</v>
      </c>
      <c r="C32" s="17">
        <f t="shared" si="9"/>
        <v>162775</v>
      </c>
      <c r="D32" s="3">
        <f t="shared" si="10"/>
        <v>34556.54761904761</v>
      </c>
      <c r="E32" s="17">
        <f t="shared" si="11"/>
        <v>-106766.07142857142</v>
      </c>
      <c r="F32" s="7">
        <f t="shared" si="12"/>
        <v>0.24597364568081997</v>
      </c>
      <c r="G32" s="5">
        <f t="shared" si="13"/>
        <v>-322.71746967161687</v>
      </c>
      <c r="H32" s="5">
        <f t="shared" si="14"/>
        <v>121.52320843729893</v>
      </c>
      <c r="I32" s="5">
        <f t="shared" si="15"/>
        <v>-322.71746967161687</v>
      </c>
      <c r="J32" s="5">
        <f t="shared" si="16"/>
        <v>121.52320843729893</v>
      </c>
    </row>
    <row r="33" spans="1:10" ht="12.75">
      <c r="A33" s="2">
        <v>8</v>
      </c>
      <c r="B33" s="5">
        <f t="shared" si="8"/>
        <v>149.6</v>
      </c>
      <c r="C33" s="17">
        <f t="shared" si="9"/>
        <v>149600</v>
      </c>
      <c r="D33" s="3">
        <f t="shared" si="10"/>
        <v>32988.09523809524</v>
      </c>
      <c r="E33" s="17">
        <f t="shared" si="11"/>
        <v>-107707.14285714284</v>
      </c>
      <c r="F33" s="7">
        <f t="shared" si="12"/>
        <v>0.25766871165644173</v>
      </c>
      <c r="G33" s="5">
        <f t="shared" si="13"/>
        <v>-346.47475021910606</v>
      </c>
      <c r="H33" s="5">
        <f t="shared" si="14"/>
        <v>121.68264424060263</v>
      </c>
      <c r="I33" s="5">
        <f t="shared" si="15"/>
        <v>-346.474750219106</v>
      </c>
      <c r="J33" s="5">
        <f t="shared" si="16"/>
        <v>121.68264424060263</v>
      </c>
    </row>
    <row r="34" spans="1:10" ht="12.75">
      <c r="A34" s="2">
        <v>9</v>
      </c>
      <c r="B34" s="5">
        <f t="shared" si="8"/>
        <v>136.425</v>
      </c>
      <c r="C34" s="17">
        <f t="shared" si="9"/>
        <v>136425</v>
      </c>
      <c r="D34" s="3">
        <f t="shared" si="10"/>
        <v>31419.642857142855</v>
      </c>
      <c r="E34" s="17">
        <f t="shared" si="11"/>
        <v>-108648.21428571428</v>
      </c>
      <c r="F34" s="7">
        <f t="shared" si="12"/>
        <v>0.2705314009661836</v>
      </c>
      <c r="G34" s="5">
        <f t="shared" si="13"/>
        <v>-371.7207505175984</v>
      </c>
      <c r="H34" s="5">
        <f t="shared" si="14"/>
        <v>121.9045200476424</v>
      </c>
      <c r="I34" s="5">
        <f t="shared" si="15"/>
        <v>-371.7207505175984</v>
      </c>
      <c r="J34" s="5">
        <f t="shared" si="16"/>
        <v>121.90452004764238</v>
      </c>
    </row>
    <row r="35" spans="1:10" ht="12.75">
      <c r="A35" s="2">
        <v>10</v>
      </c>
      <c r="B35" s="5">
        <f t="shared" si="8"/>
        <v>123.25</v>
      </c>
      <c r="C35" s="17">
        <f t="shared" si="9"/>
        <v>123250</v>
      </c>
      <c r="D35" s="3">
        <f t="shared" si="10"/>
        <v>29851.19047619047</v>
      </c>
      <c r="E35" s="17">
        <f t="shared" si="11"/>
        <v>-109589.28571428571</v>
      </c>
      <c r="F35" s="7">
        <f t="shared" si="12"/>
        <v>0.28474576271186447</v>
      </c>
      <c r="G35" s="5">
        <f t="shared" si="13"/>
        <v>-398.6901331719129</v>
      </c>
      <c r="H35" s="5">
        <f t="shared" si="14"/>
        <v>122.17640503549885</v>
      </c>
      <c r="I35" s="5">
        <f t="shared" si="15"/>
        <v>-398.6901331719129</v>
      </c>
      <c r="J35" s="5">
        <f t="shared" si="16"/>
        <v>122.17640503549885</v>
      </c>
    </row>
    <row r="36" spans="1:10" ht="12.75">
      <c r="A36" s="2">
        <v>11</v>
      </c>
      <c r="B36" s="5">
        <f t="shared" si="8"/>
        <v>110.07499999999999</v>
      </c>
      <c r="C36" s="17">
        <f t="shared" si="9"/>
        <v>110074.99999999999</v>
      </c>
      <c r="D36" s="3">
        <f t="shared" si="10"/>
        <v>28282.73809523809</v>
      </c>
      <c r="E36" s="17">
        <f t="shared" si="11"/>
        <v>-110530.35714285713</v>
      </c>
      <c r="F36" s="7">
        <f t="shared" si="12"/>
        <v>0.30053667262969597</v>
      </c>
      <c r="G36" s="5">
        <f t="shared" si="13"/>
        <v>-427.6696147457195</v>
      </c>
      <c r="H36" s="5">
        <f t="shared" si="14"/>
        <v>122.47789620998671</v>
      </c>
      <c r="I36" s="5">
        <f t="shared" si="15"/>
        <v>-427.66961474571946</v>
      </c>
      <c r="J36" s="5">
        <f t="shared" si="16"/>
        <v>122.47789620998668</v>
      </c>
    </row>
    <row r="37" spans="1:10" ht="12.75">
      <c r="A37" s="2">
        <v>12</v>
      </c>
      <c r="B37" s="5">
        <f t="shared" si="8"/>
        <v>96.9</v>
      </c>
      <c r="C37" s="17">
        <f t="shared" si="9"/>
        <v>96900</v>
      </c>
      <c r="D37" s="3">
        <f t="shared" si="10"/>
        <v>26714.28571428571</v>
      </c>
      <c r="E37" s="17">
        <f t="shared" si="11"/>
        <v>-111471.42857142857</v>
      </c>
      <c r="F37" s="7">
        <f t="shared" si="12"/>
        <v>0.31818181818181823</v>
      </c>
      <c r="G37" s="5">
        <f t="shared" si="13"/>
        <v>-459.0132467532468</v>
      </c>
      <c r="H37" s="5">
        <f t="shared" si="14"/>
        <v>122.77665737898465</v>
      </c>
      <c r="I37" s="5">
        <f t="shared" si="15"/>
        <v>-459.0132467532468</v>
      </c>
      <c r="J37" s="5">
        <f t="shared" si="16"/>
        <v>122.77665737898464</v>
      </c>
    </row>
    <row r="38" spans="1:10" ht="12.75">
      <c r="A38" s="2">
        <v>13</v>
      </c>
      <c r="B38" s="5">
        <f t="shared" si="8"/>
        <v>83.725</v>
      </c>
      <c r="C38" s="17">
        <f t="shared" si="9"/>
        <v>83725</v>
      </c>
      <c r="D38" s="3">
        <f t="shared" si="10"/>
        <v>25145.833333333332</v>
      </c>
      <c r="E38" s="17">
        <f t="shared" si="11"/>
        <v>-112412.49999999999</v>
      </c>
      <c r="F38" s="7">
        <f t="shared" si="12"/>
        <v>0.3380281690140845</v>
      </c>
      <c r="G38" s="5">
        <f t="shared" si="13"/>
        <v>-493.1634154929577</v>
      </c>
      <c r="H38" s="5">
        <f t="shared" si="14"/>
        <v>123.02233135290615</v>
      </c>
      <c r="I38" s="5">
        <f t="shared" si="15"/>
        <v>-493.1634154929577</v>
      </c>
      <c r="J38" s="5">
        <f t="shared" si="16"/>
        <v>123.02233135290615</v>
      </c>
    </row>
    <row r="39" spans="1:10" ht="12.75">
      <c r="A39" s="2">
        <v>14</v>
      </c>
      <c r="B39" s="5">
        <f t="shared" si="8"/>
        <v>70.55000000000001</v>
      </c>
      <c r="C39" s="17">
        <f t="shared" si="9"/>
        <v>70550.00000000001</v>
      </c>
      <c r="D39" s="3">
        <f t="shared" si="10"/>
        <v>23577.38095238095</v>
      </c>
      <c r="E39" s="17">
        <f t="shared" si="11"/>
        <v>-113353.57142857142</v>
      </c>
      <c r="F39" s="7">
        <f t="shared" si="12"/>
        <v>0.36051502145922754</v>
      </c>
      <c r="G39" s="5">
        <f t="shared" si="13"/>
        <v>-530.6802237890865</v>
      </c>
      <c r="H39" s="5">
        <f t="shared" si="14"/>
        <v>123.1370149830405</v>
      </c>
      <c r="I39" s="5">
        <f t="shared" si="15"/>
        <v>-530.6802237890864</v>
      </c>
      <c r="J39" s="5">
        <f t="shared" si="16"/>
        <v>123.13701498304047</v>
      </c>
    </row>
    <row r="40" spans="1:10" ht="12.75">
      <c r="A40" s="2">
        <v>15</v>
      </c>
      <c r="B40" s="5">
        <f t="shared" si="8"/>
        <v>57.375</v>
      </c>
      <c r="C40" s="17">
        <f t="shared" si="9"/>
        <v>57375</v>
      </c>
      <c r="D40" s="3">
        <f t="shared" si="10"/>
        <v>22008.92857142857</v>
      </c>
      <c r="E40" s="17">
        <f t="shared" si="11"/>
        <v>-114294.64285714284</v>
      </c>
      <c r="F40" s="7">
        <f t="shared" si="12"/>
        <v>0.3862068965517242</v>
      </c>
      <c r="G40" s="5">
        <f t="shared" si="13"/>
        <v>-572.2834359605912</v>
      </c>
      <c r="H40" s="5">
        <f t="shared" si="14"/>
        <v>123.00004412264309</v>
      </c>
      <c r="I40" s="5">
        <f t="shared" si="15"/>
        <v>-572.2834359605911</v>
      </c>
      <c r="J40" s="5">
        <f t="shared" si="16"/>
        <v>123.00004412264309</v>
      </c>
    </row>
    <row r="41" spans="1:10" ht="12.75">
      <c r="A41" s="2">
        <v>16</v>
      </c>
      <c r="B41" s="5">
        <f t="shared" si="8"/>
        <v>44.19999999999999</v>
      </c>
      <c r="C41" s="17">
        <f t="shared" si="9"/>
        <v>44199.999999999985</v>
      </c>
      <c r="D41" s="3">
        <f t="shared" si="10"/>
        <v>20440.476190476187</v>
      </c>
      <c r="E41" s="17">
        <f t="shared" si="11"/>
        <v>-115235.71428571428</v>
      </c>
      <c r="F41" s="7">
        <f t="shared" si="12"/>
        <v>0.4158415841584159</v>
      </c>
      <c r="G41" s="5">
        <f t="shared" si="13"/>
        <v>-618.9137340876945</v>
      </c>
      <c r="H41" s="5">
        <f t="shared" si="14"/>
        <v>122.4230968308429</v>
      </c>
      <c r="I41" s="5">
        <f t="shared" si="15"/>
        <v>-618.9137340876945</v>
      </c>
      <c r="J41" s="5">
        <f t="shared" si="16"/>
        <v>122.4230968308429</v>
      </c>
    </row>
    <row r="42" spans="1:10" ht="12.75">
      <c r="A42" s="2">
        <v>17</v>
      </c>
      <c r="B42" s="5">
        <f t="shared" si="8"/>
        <v>31.025000000000006</v>
      </c>
      <c r="C42" s="17">
        <f t="shared" si="9"/>
        <v>31025.000000000007</v>
      </c>
      <c r="D42" s="3">
        <f t="shared" si="10"/>
        <v>18872.02380952381</v>
      </c>
      <c r="E42" s="17">
        <f t="shared" si="11"/>
        <v>-116176.7857142857</v>
      </c>
      <c r="F42" s="7">
        <f t="shared" si="12"/>
        <v>0.450402144772118</v>
      </c>
      <c r="G42" s="5">
        <f t="shared" si="13"/>
        <v>-671.8245202987362</v>
      </c>
      <c r="H42" s="5">
        <f t="shared" si="14"/>
        <v>121.10829555453674</v>
      </c>
      <c r="I42" s="5">
        <f t="shared" si="15"/>
        <v>-671.824520298736</v>
      </c>
      <c r="J42" s="5">
        <f t="shared" si="16"/>
        <v>121.10829555453674</v>
      </c>
    </row>
    <row r="43" spans="1:10" ht="12.75">
      <c r="A43" s="2">
        <v>18</v>
      </c>
      <c r="B43" s="5">
        <f t="shared" si="8"/>
        <v>17.849999999999994</v>
      </c>
      <c r="C43" s="17">
        <f t="shared" si="9"/>
        <v>17849.999999999993</v>
      </c>
      <c r="D43" s="3">
        <f t="shared" si="10"/>
        <v>17303.571428571428</v>
      </c>
      <c r="E43" s="17">
        <f t="shared" si="11"/>
        <v>-117117.85714285713</v>
      </c>
      <c r="F43" s="7">
        <f t="shared" si="12"/>
        <v>0.4912280701754386</v>
      </c>
      <c r="G43" s="5">
        <f t="shared" si="13"/>
        <v>-732.7236466165414</v>
      </c>
      <c r="H43" s="5">
        <f t="shared" si="14"/>
        <v>118.57534750472672</v>
      </c>
      <c r="I43" s="5">
        <f t="shared" si="15"/>
        <v>-732.7236466165413</v>
      </c>
      <c r="J43" s="5">
        <f t="shared" si="16"/>
        <v>118.5753475047267</v>
      </c>
    </row>
    <row r="44" spans="1:10" ht="12.75">
      <c r="A44" s="2">
        <v>19</v>
      </c>
      <c r="B44" s="5">
        <f t="shared" si="8"/>
        <v>4.675000000000011</v>
      </c>
      <c r="C44" s="17">
        <f t="shared" si="9"/>
        <v>4675.000000000011</v>
      </c>
      <c r="D44" s="3">
        <f t="shared" si="10"/>
        <v>15735.119047619048</v>
      </c>
      <c r="E44" s="17">
        <f t="shared" si="11"/>
        <v>-118058.92857142857</v>
      </c>
      <c r="F44" s="7">
        <f t="shared" si="12"/>
        <v>0.5401929260450161</v>
      </c>
      <c r="G44" s="5">
        <f t="shared" si="13"/>
        <v>-803.9999092788241</v>
      </c>
      <c r="H44" s="5">
        <f t="shared" si="14"/>
        <v>114.02984676743269</v>
      </c>
      <c r="I44" s="5">
        <f t="shared" si="15"/>
        <v>-803.9999092788239</v>
      </c>
      <c r="J44" s="5">
        <f t="shared" si="16"/>
        <v>114.02984676743267</v>
      </c>
    </row>
    <row r="45" spans="1:10" ht="12.75">
      <c r="A45" s="2">
        <v>20</v>
      </c>
      <c r="B45" s="5">
        <f>-$B$8*$F$4*$C$6/$C$5</f>
        <v>-8.500000000000002</v>
      </c>
      <c r="C45" s="17">
        <f t="shared" si="9"/>
        <v>-8500.000000000002</v>
      </c>
      <c r="D45" s="3">
        <f t="shared" si="10"/>
        <v>14166.666666666664</v>
      </c>
      <c r="E45" s="17">
        <f t="shared" si="11"/>
        <v>-118999.99999999999</v>
      </c>
      <c r="F45" s="7">
        <f t="shared" si="12"/>
        <v>0.6000000000000001</v>
      </c>
      <c r="G45" s="5">
        <f t="shared" si="13"/>
        <v>-889.1000000000001</v>
      </c>
      <c r="H45" s="5">
        <f t="shared" si="14"/>
        <v>106.11399999999998</v>
      </c>
      <c r="I45" s="5">
        <f t="shared" si="15"/>
        <v>-889.1</v>
      </c>
      <c r="J45" s="5">
        <f t="shared" si="16"/>
        <v>106.11399999999996</v>
      </c>
    </row>
    <row r="47" spans="1:10" ht="12.75">
      <c r="A47" s="2" t="s">
        <v>120</v>
      </c>
      <c r="B47" s="15" t="s">
        <v>121</v>
      </c>
      <c r="C47" s="2" t="s">
        <v>111</v>
      </c>
      <c r="D47" s="2" t="s">
        <v>115</v>
      </c>
      <c r="E47" s="15" t="s">
        <v>112</v>
      </c>
      <c r="F47" s="15" t="s">
        <v>122</v>
      </c>
      <c r="G47" s="2" t="s">
        <v>35</v>
      </c>
      <c r="H47" s="2" t="s">
        <v>23</v>
      </c>
      <c r="I47" s="2" t="s">
        <v>35</v>
      </c>
      <c r="J47" s="2" t="s">
        <v>23</v>
      </c>
    </row>
    <row r="48" spans="1:10" ht="12.75">
      <c r="A48" s="2">
        <v>0</v>
      </c>
      <c r="B48" s="5">
        <f>$B$50*A48/$A$50</f>
        <v>0</v>
      </c>
      <c r="C48" s="17">
        <f>B48*1000</f>
        <v>0</v>
      </c>
      <c r="D48" s="3">
        <f>(C48+$G$4)/$C$5</f>
        <v>14166.666666666668</v>
      </c>
      <c r="E48" s="17">
        <f>$B$8*(-$G$4*$C$7/$C$5+C48*$C$6/$C$5)</f>
        <v>-119000.00000000001</v>
      </c>
      <c r="F48" s="17">
        <f>$B$8*(-$G$4*$C$6/$C$5+C48*$C$7/$C$5)</f>
        <v>-8500.000000000002</v>
      </c>
      <c r="G48" s="5">
        <f>$C$4*$C$5/2*(-$G$4+C48)+$C$9*F48+$C$10*E48</f>
        <v>-889.1</v>
      </c>
      <c r="H48" s="5">
        <f>$C$4*$C$5^2/12*($G$4+C48)+($C$9*F48-$C$10*E48)*($C$5/2-$C$6)</f>
        <v>106.114</v>
      </c>
      <c r="I48" s="5">
        <f>$C$4*$C$5/2*(-$G$4+C48)-($C$9*$C$6/$C$5+$C$10*$C$7/$C$5)*$B$8*$G$4+($C$9*$C$7/$C$5+$C$10*$C$6/$C$5)*$B$8*C48</f>
        <v>-889.1</v>
      </c>
      <c r="J48" s="5">
        <f>$C$4*$C$5^2/12*($G$4+C48)+((-$C$9*$C$6/$C$5+$C$10*$C$7/$C$5)*$B$8*$G$4+($C$9*$C$7/$C$5-$C$10*$C$6/$C$5)*$B$8*C48)*($C$5/2-$C$6)</f>
        <v>106.114</v>
      </c>
    </row>
    <row r="49" spans="1:10" ht="12.75">
      <c r="A49" s="2">
        <v>5</v>
      </c>
      <c r="B49" s="5">
        <f>$B$50*A49/$A$50</f>
        <v>-1.6332997987927562</v>
      </c>
      <c r="C49" s="17">
        <f>B49*1000</f>
        <v>-1633.2997987927563</v>
      </c>
      <c r="D49" s="3">
        <f>(C49+$G$4)/$C$5</f>
        <v>11444.500335345407</v>
      </c>
      <c r="E49" s="17">
        <f>$B$8*(-$G$4*$C$7/$C$5+C49*$C$6/$C$5)</f>
        <v>-120633.29979879275</v>
      </c>
      <c r="F49" s="17">
        <f>$B$8*(-$G$4*$C$6/$C$5+C49*$C$7/$C$5)</f>
        <v>-31366.19718309859</v>
      </c>
      <c r="G49" s="5">
        <f>$C$4*$C$5/2*(-$G$4+C49)+$C$9*F49+$C$10*E49</f>
        <v>-1051.4499999999998</v>
      </c>
      <c r="H49" s="5">
        <f>$C$4*$C$5^2/12*($G$4+C49)+($C$9*F49-$C$10*E49)*($C$5/2-$C$6)</f>
        <v>88.27183299798793</v>
      </c>
      <c r="I49" s="5">
        <f>$C$4*$C$5/2*(-$G$4+C49)-($C$9*$C$6/$C$5+$C$10*$C$7/$C$5)*$B$8*$G$4+($C$9*$C$7/$C$5+$C$10*$C$6/$C$5)*$B$8*C49</f>
        <v>-1051.45</v>
      </c>
      <c r="J49" s="5">
        <f>$C$4*$C$5^2/12*($G$4+C49)+((-$C$9*$C$6/$C$5+$C$10*$C$7/$C$5)*$B$8*$G$4+($C$9*$C$7/$C$5-$C$10*$C$6/$C$5)*$B$8*C49)*($C$5/2-$C$6)</f>
        <v>88.27183299798793</v>
      </c>
    </row>
    <row r="50" spans="1:10" ht="12.75">
      <c r="A50" s="2">
        <v>10</v>
      </c>
      <c r="B50" s="5">
        <f>-(0.2*C5+B53)/(0.5*C5+B53)*F4</f>
        <v>-3.266599597585513</v>
      </c>
      <c r="C50" s="17">
        <f>B50*1000</f>
        <v>-3266.599597585513</v>
      </c>
      <c r="D50" s="3">
        <f>(C50+$G$4)/$C$5</f>
        <v>8722.334004024146</v>
      </c>
      <c r="E50" s="17">
        <f>$B$8*(-$G$4*$C$7/$C$5+C50*$C$6/$C$5)</f>
        <v>-122266.59959758552</v>
      </c>
      <c r="F50" s="17">
        <f>$B$8*(-$G$4*$C$6/$C$5+C50*$C$7/$C$5)</f>
        <v>-54232.394366197186</v>
      </c>
      <c r="G50" s="5">
        <f>$C$4*$C$5/2*(-$G$4+C50)+$C$9*F50+$C$10*E50</f>
        <v>-1213.8</v>
      </c>
      <c r="H50" s="5">
        <f>$C$4*$C$5^2/12*($G$4+C50)+($C$9*F50-$C$10*E50)*($C$5/2-$C$6)</f>
        <v>70.42966599597585</v>
      </c>
      <c r="I50" s="5">
        <f>$C$4*$C$5/2*(-$G$4+C50)-($C$9*$C$6/$C$5+$C$10*$C$7/$C$5)*$B$8*$G$4+($C$9*$C$7/$C$5+$C$10*$C$6/$C$5)*$B$8*C50</f>
        <v>-1213.7999999999997</v>
      </c>
      <c r="J50" s="5">
        <f>$C$4*$C$5^2/12*($G$4+C50)+((-$C$9*$C$6/$C$5+$C$10*$C$7/$C$5)*$B$8*$G$4+($C$9*$C$7/$C$5-$C$10*$C$6/$C$5)*$B$8*C50)*($C$5/2-$C$6)</f>
        <v>70.42966599597585</v>
      </c>
    </row>
    <row r="51" spans="2:10" ht="12.75">
      <c r="B51" s="5"/>
      <c r="C51" s="17"/>
      <c r="D51" s="3"/>
      <c r="E51" s="17"/>
      <c r="F51" s="17"/>
      <c r="G51" s="5">
        <f>G50</f>
        <v>-1213.8</v>
      </c>
      <c r="H51" s="5">
        <f>(-C9+C10)*B8*G4*0.7*(C5/2-C6)</f>
        <v>9.282000000000002</v>
      </c>
      <c r="I51" s="5"/>
      <c r="J51" s="5"/>
    </row>
    <row r="52" spans="2:10" ht="12.75">
      <c r="B52" s="5">
        <v>-8.5</v>
      </c>
      <c r="C52" s="17">
        <f>B52*1000</f>
        <v>-8500</v>
      </c>
      <c r="D52" s="3">
        <f>(C52+$G$4)/$C$5</f>
        <v>0</v>
      </c>
      <c r="E52" s="17">
        <f>$B$8*(-$G$4*$C$7/$C$5+C52*$C$6/$C$5)</f>
        <v>-127500</v>
      </c>
      <c r="F52" s="17">
        <f>$B$8*(-$G$4*$C$6/$C$5+C52*$C$7/$C$5)</f>
        <v>-127500</v>
      </c>
      <c r="G52" s="5">
        <f>$C$4*$C$5/2*(-$G$4+C52)+$C$9*F52+$C$10*E52</f>
        <v>-1734</v>
      </c>
      <c r="H52" s="5">
        <f>$C$4*$C$5^2/12*($G$4+C52)+($C$9*F52-$C$10*E52)*($C$5/2-$C$6)</f>
        <v>13.26</v>
      </c>
      <c r="I52" s="5">
        <f>$C$4*$C$5/2*(-$G$4+C52)-($C$9*$C$6/$C$5+$C$10*$C$7/$C$5)*$B$8*$G$4+($C$9*$C$7/$C$5+$C$10*$C$6/$C$5)*$B$8*C52</f>
        <v>-1734</v>
      </c>
      <c r="J52" s="5">
        <f>$C$4*$C$5^2/12*($G$4+C52)+((-$C$9*$C$6/$C$5+$C$10*$C$7/$C$5)*$B$8*$G$4+($C$9*$C$7/$C$5-$C$10*$C$6/$C$5)*$B$8*C52)*($C$5/2-$C$6)</f>
        <v>13.260000000000009</v>
      </c>
    </row>
    <row r="53" spans="1:2" ht="12.75">
      <c r="A53" s="2" t="s">
        <v>128</v>
      </c>
      <c r="B53" s="2">
        <f>B8*(C9-C10)/(C4*C5+B8*C9+B8*C10)*(C5/2-C6)</f>
        <v>-0.007647058823529413</v>
      </c>
    </row>
    <row r="54" ht="12.75">
      <c r="G54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" sqref="A3"/>
    </sheetView>
  </sheetViews>
  <sheetFormatPr defaultColWidth="9.140625" defaultRowHeight="12.75"/>
  <cols>
    <col min="1" max="4" width="9.140625" style="2" customWidth="1"/>
    <col min="6" max="6" width="9.140625" style="2" customWidth="1"/>
    <col min="7" max="7" width="9.140625" style="20" customWidth="1"/>
    <col min="8" max="16384" width="9.140625" style="2" customWidth="1"/>
  </cols>
  <sheetData>
    <row r="1" ht="12.75">
      <c r="A1" s="1" t="s">
        <v>123</v>
      </c>
    </row>
    <row r="2" spans="1:5" ht="12.75">
      <c r="A2" s="18" t="s">
        <v>119</v>
      </c>
      <c r="E2" s="2"/>
    </row>
    <row r="4" spans="1:7" ht="12.75">
      <c r="A4" s="2" t="s">
        <v>35</v>
      </c>
      <c r="B4" s="2" t="s">
        <v>126</v>
      </c>
      <c r="D4" s="2" t="s">
        <v>35</v>
      </c>
      <c r="E4" s="2" t="s">
        <v>127</v>
      </c>
      <c r="G4" s="20" t="s">
        <v>127</v>
      </c>
    </row>
    <row r="5" spans="1:7" s="19" customFormat="1" ht="12.75">
      <c r="A5" s="14">
        <f>'Es 15 -'!G13</f>
        <v>408</v>
      </c>
      <c r="B5" s="14">
        <f>'Es 15 +'!H13</f>
        <v>26.520000000000007</v>
      </c>
      <c r="D5" s="14">
        <f>'Es 15 -'!G13</f>
        <v>408</v>
      </c>
      <c r="E5" s="14">
        <f>-G5</f>
        <v>26.519999999999992</v>
      </c>
      <c r="G5" s="21">
        <f>'Es 15 -'!H13</f>
        <v>-26.519999999999992</v>
      </c>
    </row>
    <row r="6" spans="1:7" s="19" customFormat="1" ht="12.75">
      <c r="A6" s="14">
        <f>'Es 15 +'!G17</f>
        <v>265.92857142857144</v>
      </c>
      <c r="B6" s="14">
        <f>'Es 15 +'!H17</f>
        <v>63.45857142857143</v>
      </c>
      <c r="D6" s="14">
        <f>'Es 15 -'!G17</f>
        <v>171.21428571428572</v>
      </c>
      <c r="E6" s="14">
        <f aca="true" t="shared" si="0" ref="E6:E36">-G6</f>
        <v>-35.044285714285714</v>
      </c>
      <c r="G6" s="21">
        <f>'Es 15 -'!H17</f>
        <v>35.044285714285714</v>
      </c>
    </row>
    <row r="7" spans="1:7" s="5" customFormat="1" ht="12.75">
      <c r="A7" s="5">
        <f>'Es 15 +'!G18</f>
        <v>238.73961038961036</v>
      </c>
      <c r="B7" s="5">
        <f>'Es 15 +'!H18</f>
        <v>70.82667650531288</v>
      </c>
      <c r="D7" s="5">
        <f>'Es 15 -'!G18</f>
        <v>134.55389610389608</v>
      </c>
      <c r="E7" s="5">
        <f t="shared" si="0"/>
        <v>-44.874962219598586</v>
      </c>
      <c r="G7" s="22">
        <f>'Es 15 -'!H18</f>
        <v>44.874962219598586</v>
      </c>
    </row>
    <row r="8" spans="1:7" s="5" customFormat="1" ht="12.75">
      <c r="A8" s="5">
        <f>'Es 15 +'!G19</f>
        <v>189.9142857142857</v>
      </c>
      <c r="B8" s="5">
        <f>'Es 15 +'!H19</f>
        <v>83.64539682539683</v>
      </c>
      <c r="D8" s="5">
        <f>'Es 15 -'!G19</f>
        <v>76.25714285714287</v>
      </c>
      <c r="E8" s="5">
        <f t="shared" si="0"/>
        <v>-60.15625396825397</v>
      </c>
      <c r="G8" s="22">
        <f>'Es 15 -'!H19</f>
        <v>60.15625396825397</v>
      </c>
    </row>
    <row r="9" spans="1:7" s="5" customFormat="1" ht="12.75">
      <c r="A9" s="5">
        <f>'Es 15 +'!G20</f>
        <v>124.44560439560438</v>
      </c>
      <c r="B9" s="5">
        <f>'Es 15 +'!H20</f>
        <v>99.93995350803044</v>
      </c>
      <c r="D9" s="5">
        <f>'Es 15 -'!G20</f>
        <v>1.3170329670329437</v>
      </c>
      <c r="E9" s="5">
        <f t="shared" si="0"/>
        <v>-78.91338207945901</v>
      </c>
      <c r="G9" s="22">
        <f>'Es 15 -'!H20</f>
        <v>78.91338207945901</v>
      </c>
    </row>
    <row r="10" spans="1:7" s="5" customFormat="1" ht="12.75">
      <c r="A10" s="5">
        <f>'Es 15 +'!G21</f>
        <v>45.899999999999984</v>
      </c>
      <c r="B10" s="5">
        <f>'Es 15 +'!H21</f>
        <v>118.49</v>
      </c>
      <c r="D10" s="5">
        <f>'Es 15 -'!G21</f>
        <v>-86.70000000000002</v>
      </c>
      <c r="E10" s="5">
        <f t="shared" si="0"/>
        <v>-99.926</v>
      </c>
      <c r="G10" s="22">
        <f>'Es 15 -'!H21</f>
        <v>99.926</v>
      </c>
    </row>
    <row r="11" spans="1:7" s="19" customFormat="1" ht="12.75">
      <c r="A11" s="14">
        <f>'Es 15 +'!G25</f>
        <v>-43.10714285714285</v>
      </c>
      <c r="B11" s="14">
        <f>'Es 15 +'!H25</f>
        <v>138.51896825396824</v>
      </c>
      <c r="D11" s="14">
        <f>'Es 15 -'!G25</f>
        <v>-185.17857142857142</v>
      </c>
      <c r="E11" s="14">
        <f t="shared" si="0"/>
        <v>-122.41753968253967</v>
      </c>
      <c r="G11" s="21">
        <f>'Es 15 -'!H25</f>
        <v>122.41753968253967</v>
      </c>
    </row>
    <row r="12" spans="1:7" s="5" customFormat="1" ht="12.75">
      <c r="A12" s="5">
        <f>'Es 15 +'!G26</f>
        <v>-65.3370043564031</v>
      </c>
      <c r="B12" s="5">
        <f>'Es 15 +'!H26</f>
        <v>136.7119350061302</v>
      </c>
      <c r="D12" s="5">
        <f>'Es 15 -'!G26</f>
        <v>-202.51486149926023</v>
      </c>
      <c r="E12" s="5">
        <f t="shared" si="0"/>
        <v>-122.07857786327305</v>
      </c>
      <c r="G12" s="22">
        <f>'Es 15 -'!H26</f>
        <v>122.07857786327305</v>
      </c>
    </row>
    <row r="13" spans="1:7" s="5" customFormat="1" ht="12.75">
      <c r="A13" s="5">
        <f>'Es 15 +'!G27</f>
        <v>-88.19502045687004</v>
      </c>
      <c r="B13" s="5">
        <f>'Es 15 +'!H27</f>
        <v>134.9718065770383</v>
      </c>
      <c r="D13" s="5">
        <f>'Es 15 -'!G27</f>
        <v>-220.47930617115577</v>
      </c>
      <c r="E13" s="5">
        <f t="shared" si="0"/>
        <v>-121.80652086275262</v>
      </c>
      <c r="G13" s="22">
        <f>'Es 15 -'!H27</f>
        <v>121.80652086275262</v>
      </c>
    </row>
    <row r="14" spans="1:7" s="5" customFormat="1" ht="12.75">
      <c r="A14" s="5">
        <f>'Es 15 +'!G28</f>
        <v>-111.75358072225174</v>
      </c>
      <c r="B14" s="5">
        <f>'Es 15 +'!H28</f>
        <v>133.30126987199102</v>
      </c>
      <c r="D14" s="5">
        <f>'Es 15 -'!G28</f>
        <v>-239.14429500796604</v>
      </c>
      <c r="E14" s="5">
        <f t="shared" si="0"/>
        <v>-121.60405558627674</v>
      </c>
      <c r="G14" s="22">
        <f>'Es 15 -'!H28</f>
        <v>121.60405558627674</v>
      </c>
    </row>
    <row r="15" spans="1:7" s="5" customFormat="1" ht="12.75">
      <c r="A15" s="5">
        <f>'Es 15 +'!G29</f>
        <v>-136.09664212076586</v>
      </c>
      <c r="B15" s="5">
        <f>'Es 15 +'!H29</f>
        <v>131.70260638598305</v>
      </c>
      <c r="D15" s="5">
        <f>'Es 15 -'!G29</f>
        <v>-258.59378497790874</v>
      </c>
      <c r="E15" s="5">
        <f t="shared" si="0"/>
        <v>-121.47346352884017</v>
      </c>
      <c r="G15" s="22">
        <f>'Es 15 -'!H29</f>
        <v>121.47346352884017</v>
      </c>
    </row>
    <row r="16" spans="1:7" s="5" customFormat="1" ht="12.75">
      <c r="A16" s="5">
        <f>'Es 15 +'!G30</f>
        <v>-161.32213566634704</v>
      </c>
      <c r="B16" s="5">
        <f>'Es 15 +'!H30</f>
        <v>130.17742695470605</v>
      </c>
      <c r="D16" s="5">
        <f>'Es 15 -'!G30</f>
        <v>-278.9257070949185</v>
      </c>
      <c r="E16" s="5">
        <f t="shared" si="0"/>
        <v>-121.41635552613461</v>
      </c>
      <c r="G16" s="22">
        <f>'Es 15 -'!H30</f>
        <v>121.41635552613461</v>
      </c>
    </row>
    <row r="17" spans="1:7" s="5" customFormat="1" ht="12.75">
      <c r="A17" s="5">
        <f>'Es 15 +'!G31</f>
        <v>-187.54499999999996</v>
      </c>
      <c r="B17" s="5">
        <f>'Es 15 +'!H31</f>
        <v>128.7262882352941</v>
      </c>
      <c r="D17" s="5">
        <f>'Es 15 -'!G31</f>
        <v>-300.255</v>
      </c>
      <c r="E17" s="5">
        <f t="shared" si="0"/>
        <v>-121.43328823529411</v>
      </c>
      <c r="G17" s="22">
        <f>'Es 15 -'!H31</f>
        <v>121.43328823529411</v>
      </c>
    </row>
    <row r="18" spans="1:7" s="5" customFormat="1" ht="12.75">
      <c r="A18" s="5">
        <f>'Es 15 +'!G32</f>
        <v>-214.90104110018825</v>
      </c>
      <c r="B18" s="5">
        <f>'Es 15 +'!H32</f>
        <v>127.3481370087275</v>
      </c>
      <c r="D18" s="5">
        <f>'Es 15 -'!G32</f>
        <v>-322.71746967161687</v>
      </c>
      <c r="E18" s="5">
        <f t="shared" si="0"/>
        <v>-121.52320843729893</v>
      </c>
      <c r="G18" s="22">
        <f>'Es 15 -'!H32</f>
        <v>121.52320843729893</v>
      </c>
    </row>
    <row r="19" spans="1:7" s="5" customFormat="1" ht="12.75">
      <c r="A19" s="5">
        <f>'Es 15 +'!G33</f>
        <v>-243.55189307624892</v>
      </c>
      <c r="B19" s="5">
        <f>'Es 15 +'!H33</f>
        <v>126.03950138345978</v>
      </c>
      <c r="D19" s="5">
        <f>'Es 15 -'!G33</f>
        <v>-346.47475021910606</v>
      </c>
      <c r="E19" s="5">
        <f t="shared" si="0"/>
        <v>-121.68264424060263</v>
      </c>
      <c r="G19" s="22">
        <f>'Es 15 -'!H33</f>
        <v>121.68264424060263</v>
      </c>
    </row>
    <row r="20" spans="1:7" s="5" customFormat="1" ht="12.75">
      <c r="A20" s="5">
        <f>'Es 15 +'!G34</f>
        <v>-273.69146480331267</v>
      </c>
      <c r="B20" s="5">
        <f>'Es 15 +'!H34</f>
        <v>124.79330576192811</v>
      </c>
      <c r="D20" s="5">
        <f>'Es 15 -'!G34</f>
        <v>-371.7207505175984</v>
      </c>
      <c r="E20" s="5">
        <f t="shared" si="0"/>
        <v>-121.9045200476424</v>
      </c>
      <c r="G20" s="22">
        <f>'Es 15 -'!H34</f>
        <v>121.9045200476424</v>
      </c>
    </row>
    <row r="21" spans="1:7" s="5" customFormat="1" ht="12.75">
      <c r="A21" s="5">
        <f>'Es 15 +'!G35</f>
        <v>-305.5544188861986</v>
      </c>
      <c r="B21" s="5">
        <f>'Es 15 +'!H35</f>
        <v>123.59711932121313</v>
      </c>
      <c r="D21" s="5">
        <f>'Es 15 -'!G35</f>
        <v>-398.6901331719129</v>
      </c>
      <c r="E21" s="5">
        <f t="shared" si="0"/>
        <v>-122.17640503549885</v>
      </c>
      <c r="G21" s="22">
        <f>'Es 15 -'!H35</f>
        <v>122.17640503549885</v>
      </c>
    </row>
    <row r="22" spans="1:7" s="5" customFormat="1" ht="12.75">
      <c r="A22" s="5">
        <f>'Es 15 +'!G36</f>
        <v>-339.42747188857663</v>
      </c>
      <c r="B22" s="5">
        <f>'Es 15 +'!H36</f>
        <v>122.43053906712956</v>
      </c>
      <c r="D22" s="5">
        <f>'Es 15 -'!G36</f>
        <v>-427.6696147457195</v>
      </c>
      <c r="E22" s="5">
        <f t="shared" si="0"/>
        <v>-122.47789620998671</v>
      </c>
      <c r="G22" s="22">
        <f>'Es 15 -'!H36</f>
        <v>122.47789620998671</v>
      </c>
    </row>
    <row r="23" spans="1:7" s="5" customFormat="1" ht="12.75">
      <c r="A23" s="5">
        <f>'Es 15 +'!G37</f>
        <v>-375.6646753246754</v>
      </c>
      <c r="B23" s="5">
        <f>'Es 15 +'!H37</f>
        <v>121.26122880755608</v>
      </c>
      <c r="D23" s="5">
        <f>'Es 15 -'!G37</f>
        <v>-459.0132467532468</v>
      </c>
      <c r="E23" s="5">
        <f t="shared" si="0"/>
        <v>-122.77665737898465</v>
      </c>
      <c r="G23" s="22">
        <f>'Es 15 -'!H37</f>
        <v>122.77665737898465</v>
      </c>
    </row>
    <row r="24" spans="1:7" s="5" customFormat="1" ht="12.75">
      <c r="A24" s="5">
        <f>'Es 15 +'!G38</f>
        <v>-414.70841549295767</v>
      </c>
      <c r="B24" s="5">
        <f>'Es 15 +'!H38</f>
        <v>120.03883135290616</v>
      </c>
      <c r="D24" s="5">
        <f>'Es 15 -'!G38</f>
        <v>-493.1634154929577</v>
      </c>
      <c r="E24" s="5">
        <f t="shared" si="0"/>
        <v>-123.02233135290615</v>
      </c>
      <c r="G24" s="22">
        <f>'Es 15 -'!H38</f>
        <v>123.02233135290615</v>
      </c>
    </row>
    <row r="25" spans="1:7" s="5" customFormat="1" ht="12.75">
      <c r="A25" s="5">
        <f>'Es 15 +'!G39</f>
        <v>-457.118795217658</v>
      </c>
      <c r="B25" s="5">
        <f>'Es 15 +'!H39</f>
        <v>118.68544355446909</v>
      </c>
      <c r="D25" s="5">
        <f>'Es 15 -'!G39</f>
        <v>-530.6802237890865</v>
      </c>
      <c r="E25" s="5">
        <f t="shared" si="0"/>
        <v>-123.1370149830405</v>
      </c>
      <c r="G25" s="22">
        <f>'Es 15 -'!H39</f>
        <v>123.1370149830405</v>
      </c>
    </row>
    <row r="26" spans="1:7" s="5" customFormat="1" ht="12.75">
      <c r="A26" s="5">
        <f>'Es 15 +'!G40</f>
        <v>-503.615578817734</v>
      </c>
      <c r="B26" s="5">
        <f>'Es 15 +'!H40</f>
        <v>117.08040126550024</v>
      </c>
      <c r="D26" s="5">
        <f>'Es 15 -'!G40</f>
        <v>-572.2834359605912</v>
      </c>
      <c r="E26" s="5">
        <f t="shared" si="0"/>
        <v>-123.00004412264309</v>
      </c>
      <c r="G26" s="22">
        <f>'Es 15 -'!H40</f>
        <v>123.00004412264309</v>
      </c>
    </row>
    <row r="27" spans="1:7" s="5" customFormat="1" ht="12.75">
      <c r="A27" s="5">
        <f>'Es 15 +'!G41</f>
        <v>-555.1394483734088</v>
      </c>
      <c r="B27" s="5">
        <f>'Es 15 +'!H41</f>
        <v>115.03538254512861</v>
      </c>
      <c r="D27" s="5">
        <f>'Es 15 -'!G41</f>
        <v>-618.9137340876945</v>
      </c>
      <c r="E27" s="5">
        <f t="shared" si="0"/>
        <v>-122.4230968308429</v>
      </c>
      <c r="G27" s="22">
        <f>'Es 15 -'!H41</f>
        <v>122.4230968308429</v>
      </c>
    </row>
    <row r="28" spans="1:7" s="5" customFormat="1" ht="12.75">
      <c r="A28" s="5">
        <f>'Es 15 +'!G42</f>
        <v>-612.9438060130218</v>
      </c>
      <c r="B28" s="5">
        <f>'Es 15 +'!H42</f>
        <v>112.25250984025102</v>
      </c>
      <c r="D28" s="5">
        <f>'Es 15 -'!G42</f>
        <v>-671.8245202987362</v>
      </c>
      <c r="E28" s="5">
        <f t="shared" si="0"/>
        <v>-121.10829555453674</v>
      </c>
      <c r="G28" s="22">
        <f>'Es 15 -'!H42</f>
        <v>121.10829555453674</v>
      </c>
    </row>
    <row r="29" spans="1:7" s="5" customFormat="1" ht="12.75">
      <c r="A29" s="5">
        <f>'Es 15 +'!G43</f>
        <v>-678.7365037593985</v>
      </c>
      <c r="B29" s="5">
        <f>'Es 15 +'!H43</f>
        <v>108.25149036186957</v>
      </c>
      <c r="D29" s="5">
        <f>'Es 15 -'!G43</f>
        <v>-732.7236466165414</v>
      </c>
      <c r="E29" s="5">
        <f t="shared" si="0"/>
        <v>-118.57534750472672</v>
      </c>
      <c r="G29" s="22">
        <f>'Es 15 -'!H43</f>
        <v>118.57534750472672</v>
      </c>
    </row>
    <row r="30" spans="1:7" s="5" customFormat="1" ht="12.75">
      <c r="A30" s="5">
        <f>'Es 15 +'!G44</f>
        <v>-754.9063378502527</v>
      </c>
      <c r="B30" s="5">
        <f>'Es 15 +'!H44</f>
        <v>102.23791819600412</v>
      </c>
      <c r="D30" s="5">
        <f>'Es 15 -'!G44</f>
        <v>-803.9999092788241</v>
      </c>
      <c r="E30" s="5">
        <f t="shared" si="0"/>
        <v>-114.02984676743269</v>
      </c>
      <c r="G30" s="22">
        <f>'Es 15 -'!H44</f>
        <v>114.02984676743269</v>
      </c>
    </row>
    <row r="31" spans="1:7" s="19" customFormat="1" ht="12.75">
      <c r="A31" s="14">
        <f>'Es 15 +'!G48</f>
        <v>-844.9</v>
      </c>
      <c r="B31" s="14">
        <f>'Es 15 +'!H48</f>
        <v>92.854</v>
      </c>
      <c r="D31" s="14">
        <f>'Es 15 -'!G48</f>
        <v>-889.1</v>
      </c>
      <c r="E31" s="14">
        <f t="shared" si="0"/>
        <v>-106.114</v>
      </c>
      <c r="G31" s="21">
        <f>'Es 15 -'!H48</f>
        <v>106.114</v>
      </c>
    </row>
    <row r="32" spans="1:7" s="19" customFormat="1" ht="12.75">
      <c r="A32" s="14">
        <f>'Es 15 +'!G50</f>
        <v>-1213.8000000000002</v>
      </c>
      <c r="B32" s="14">
        <f>'Es 15 +'!H50</f>
        <v>48.82582026768641</v>
      </c>
      <c r="D32" s="14">
        <f>'Es 15 -'!G50</f>
        <v>-1213.8</v>
      </c>
      <c r="E32" s="14">
        <f t="shared" si="0"/>
        <v>-70.42966599597585</v>
      </c>
      <c r="G32" s="21">
        <f>'Es 15 -'!H50</f>
        <v>70.42966599597585</v>
      </c>
    </row>
    <row r="33" spans="1:7" s="19" customFormat="1" ht="12.75">
      <c r="A33" s="14">
        <f>'Es 15 +'!G51</f>
        <v>-1213.8000000000002</v>
      </c>
      <c r="B33" s="14">
        <f>'Es 15 +'!H51</f>
        <v>-9.282000000000002</v>
      </c>
      <c r="D33" s="14">
        <f>'Es 15 -'!G51</f>
        <v>-1213.8</v>
      </c>
      <c r="E33" s="14">
        <f t="shared" si="0"/>
        <v>-9.282000000000002</v>
      </c>
      <c r="G33" s="21">
        <f>'Es 15 -'!H51</f>
        <v>9.282000000000002</v>
      </c>
    </row>
    <row r="34" spans="4:7" ht="12.75">
      <c r="D34" s="5"/>
      <c r="E34" s="14"/>
      <c r="G34" s="22"/>
    </row>
    <row r="35" spans="1:7" s="5" customFormat="1" ht="12.75">
      <c r="A35" s="5">
        <f>'Es 15 +'!G50</f>
        <v>-1213.8000000000002</v>
      </c>
      <c r="B35" s="5">
        <f>'Es 15 +'!H50</f>
        <v>48.82582026768641</v>
      </c>
      <c r="D35" s="5">
        <f>'Es 15 -'!G50</f>
        <v>-1213.8</v>
      </c>
      <c r="E35" s="5">
        <f t="shared" si="0"/>
        <v>-70.42966599597585</v>
      </c>
      <c r="G35" s="22">
        <f>'Es 15 -'!H50</f>
        <v>70.42966599597585</v>
      </c>
    </row>
    <row r="36" spans="1:7" s="5" customFormat="1" ht="12.75">
      <c r="A36" s="5">
        <f>'Es 15 +'!G52</f>
        <v>-1734</v>
      </c>
      <c r="B36" s="5">
        <f>'Es 15 +'!H52</f>
        <v>-13.26</v>
      </c>
      <c r="D36" s="5">
        <f>'Es 15 -'!G52</f>
        <v>-1734</v>
      </c>
      <c r="E36" s="5">
        <f t="shared" si="0"/>
        <v>-13.26</v>
      </c>
      <c r="G36" s="22">
        <f>'Es 15 -'!H52</f>
        <v>13.26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5"/>
  <sheetViews>
    <sheetView workbookViewId="0" topLeftCell="A1">
      <pane ySplit="10" topLeftCell="BM11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130</v>
      </c>
    </row>
    <row r="2" ht="12.75">
      <c r="A2" s="1" t="s">
        <v>129</v>
      </c>
    </row>
    <row r="3" spans="2:7" ht="12.75">
      <c r="B3" s="2" t="s">
        <v>51</v>
      </c>
      <c r="C3" s="2" t="s">
        <v>52</v>
      </c>
      <c r="F3" s="2" t="s">
        <v>17</v>
      </c>
      <c r="G3" s="2" t="s">
        <v>111</v>
      </c>
    </row>
    <row r="4" spans="1:7" ht="12.75">
      <c r="A4" s="2" t="s">
        <v>2</v>
      </c>
      <c r="B4" s="2">
        <v>30</v>
      </c>
      <c r="C4" s="2">
        <f>B4/100</f>
        <v>0.3</v>
      </c>
      <c r="E4" s="15" t="s">
        <v>108</v>
      </c>
      <c r="F4" s="2">
        <v>8.5</v>
      </c>
      <c r="G4" s="2">
        <f>F4*1000</f>
        <v>8500</v>
      </c>
    </row>
    <row r="5" spans="1:7" ht="12.75">
      <c r="A5" s="2" t="s">
        <v>6</v>
      </c>
      <c r="B5" s="2">
        <v>60</v>
      </c>
      <c r="C5" s="2">
        <f>B5/100</f>
        <v>0.6</v>
      </c>
      <c r="E5" s="15" t="s">
        <v>109</v>
      </c>
      <c r="F5" s="2">
        <v>255</v>
      </c>
      <c r="G5" s="2">
        <f>F5*1000</f>
        <v>255000</v>
      </c>
    </row>
    <row r="6" spans="1:3" ht="12.75">
      <c r="A6" s="2" t="s">
        <v>8</v>
      </c>
      <c r="B6" s="2">
        <v>4</v>
      </c>
      <c r="C6" s="2">
        <f>B6/100</f>
        <v>0.04</v>
      </c>
    </row>
    <row r="7" spans="1:3" ht="12.75">
      <c r="A7" s="2" t="s">
        <v>13</v>
      </c>
      <c r="B7" s="2">
        <f>B5-B6</f>
        <v>56</v>
      </c>
      <c r="C7" s="2">
        <f>B7/100</f>
        <v>0.56</v>
      </c>
    </row>
    <row r="8" spans="1:2" ht="12.75">
      <c r="A8" s="2" t="s">
        <v>21</v>
      </c>
      <c r="B8" s="2">
        <v>15</v>
      </c>
    </row>
    <row r="9" spans="1:3" ht="12.75">
      <c r="A9" s="2" t="s">
        <v>10</v>
      </c>
      <c r="B9" s="2">
        <v>12</v>
      </c>
      <c r="C9" s="2">
        <f>B9/10000</f>
        <v>0.0012</v>
      </c>
    </row>
    <row r="10" spans="1:3" ht="12.75">
      <c r="A10" s="2" t="s">
        <v>12</v>
      </c>
      <c r="B10" s="2">
        <f>B9</f>
        <v>12</v>
      </c>
      <c r="C10" s="2">
        <f>B10/10000</f>
        <v>0.0012</v>
      </c>
    </row>
    <row r="11" spans="11:24" ht="12.75">
      <c r="K11" s="2" t="s">
        <v>10</v>
      </c>
      <c r="L11" s="2">
        <v>0</v>
      </c>
      <c r="M11" s="2" t="s">
        <v>10</v>
      </c>
      <c r="N11" s="2">
        <v>3</v>
      </c>
      <c r="O11" s="2" t="s">
        <v>10</v>
      </c>
      <c r="P11" s="2">
        <v>6</v>
      </c>
      <c r="Q11" s="2" t="s">
        <v>10</v>
      </c>
      <c r="R11" s="2">
        <v>9</v>
      </c>
      <c r="S11" s="2" t="s">
        <v>10</v>
      </c>
      <c r="T11" s="2">
        <v>12</v>
      </c>
      <c r="U11" s="2" t="s">
        <v>10</v>
      </c>
      <c r="V11" s="2">
        <v>15</v>
      </c>
      <c r="W11" s="2" t="s">
        <v>10</v>
      </c>
      <c r="X11" s="2">
        <v>18</v>
      </c>
    </row>
    <row r="12" spans="1:24" ht="12.75">
      <c r="A12" s="2" t="s">
        <v>107</v>
      </c>
      <c r="B12" s="15" t="s">
        <v>110</v>
      </c>
      <c r="C12" s="2" t="s">
        <v>111</v>
      </c>
      <c r="D12" s="2" t="s">
        <v>116</v>
      </c>
      <c r="E12" s="15" t="s">
        <v>112</v>
      </c>
      <c r="G12" s="2" t="s">
        <v>131</v>
      </c>
      <c r="H12" s="2" t="s">
        <v>132</v>
      </c>
      <c r="I12" s="2" t="s">
        <v>133</v>
      </c>
      <c r="J12" s="2" t="s">
        <v>134</v>
      </c>
      <c r="K12" s="2" t="s">
        <v>35</v>
      </c>
      <c r="L12" s="2" t="s">
        <v>23</v>
      </c>
      <c r="M12" s="2" t="s">
        <v>35</v>
      </c>
      <c r="N12" s="2" t="s">
        <v>23</v>
      </c>
      <c r="O12" s="2" t="s">
        <v>35</v>
      </c>
      <c r="P12" s="2" t="s">
        <v>23</v>
      </c>
      <c r="Q12" s="2" t="s">
        <v>35</v>
      </c>
      <c r="R12" s="2" t="s">
        <v>23</v>
      </c>
      <c r="S12" s="2" t="s">
        <v>35</v>
      </c>
      <c r="T12" s="2" t="s">
        <v>23</v>
      </c>
      <c r="U12" s="2" t="s">
        <v>35</v>
      </c>
      <c r="V12" s="2" t="s">
        <v>23</v>
      </c>
      <c r="W12" s="2" t="s">
        <v>35</v>
      </c>
      <c r="X12" s="2" t="s">
        <v>23</v>
      </c>
    </row>
    <row r="13" spans="2:24" ht="12.75">
      <c r="B13" s="2">
        <f>F5</f>
        <v>255</v>
      </c>
      <c r="C13" s="17">
        <f>B13*1000</f>
        <v>255000</v>
      </c>
      <c r="D13" s="2">
        <f>($G$5-C13)/$C$7</f>
        <v>0</v>
      </c>
      <c r="E13" s="17">
        <f>C13*($C$7-$C$6)/$C$7+$G$5*$C$6/$C$7</f>
        <v>254999.99999999997</v>
      </c>
      <c r="G13" s="2">
        <v>0</v>
      </c>
      <c r="H13" s="2">
        <v>0</v>
      </c>
      <c r="I13" s="5">
        <f>$C$9*$G$5+$C$10*E13</f>
        <v>612</v>
      </c>
      <c r="J13" s="5">
        <f>($C$9*$G$5-$C$10*E13)*($C$5/2-$C$6)</f>
        <v>1.4779288903810084E-14</v>
      </c>
      <c r="K13" s="5">
        <f>$G13+$I13*L$11/$B$9</f>
        <v>0</v>
      </c>
      <c r="L13" s="5">
        <f>$H13+$J13*L$11/$B$9</f>
        <v>0</v>
      </c>
      <c r="M13" s="5">
        <f>$G13+$I13*N$11/$B$9</f>
        <v>153</v>
      </c>
      <c r="N13" s="5">
        <f>$H13+$J13*N$11/$B$9</f>
        <v>3.694822225952521E-15</v>
      </c>
      <c r="O13" s="5">
        <f>$G13+$I13*P$11/$B$9</f>
        <v>306</v>
      </c>
      <c r="P13" s="5">
        <f>$H13+$J13*P$11/$B$9</f>
        <v>7.389644451905042E-15</v>
      </c>
      <c r="Q13" s="5">
        <f>$G13+$I13*R$11/$B$9</f>
        <v>459</v>
      </c>
      <c r="R13" s="5">
        <f>$H13+$J13*R$11/$B$9</f>
        <v>1.1084466677857562E-14</v>
      </c>
      <c r="S13" s="5">
        <f>$G13+$I13*T$11/$B$9</f>
        <v>612</v>
      </c>
      <c r="T13" s="5">
        <f>$H13+$J13*T$11/$B$9</f>
        <v>1.4779288903810084E-14</v>
      </c>
      <c r="U13" s="5">
        <f>$G13+$I13*V$11/$B$9</f>
        <v>765</v>
      </c>
      <c r="V13" s="5">
        <f>$H13+$J13*V$11/$B$9</f>
        <v>1.8474111129762605E-14</v>
      </c>
      <c r="W13" s="5">
        <f>$G13+$I13*X$11/$B$9</f>
        <v>918</v>
      </c>
      <c r="X13" s="5">
        <f>$H13+$J13*X$11/$B$9</f>
        <v>2.2168933355715123E-14</v>
      </c>
    </row>
    <row r="14" spans="2:24" ht="12.75">
      <c r="B14" s="2">
        <v>0</v>
      </c>
      <c r="C14" s="17">
        <f>B14*1000</f>
        <v>0</v>
      </c>
      <c r="D14" s="2">
        <f>($G$5-C14)/$C$7</f>
        <v>455357.14285714284</v>
      </c>
      <c r="E14" s="17">
        <f>C14*($C$7-$C$6)/$C$7+$G$5*$C$6/$C$7</f>
        <v>18214.285714285714</v>
      </c>
      <c r="G14" s="2">
        <v>0</v>
      </c>
      <c r="H14" s="2">
        <v>0</v>
      </c>
      <c r="I14" s="5">
        <f>$C$9*$G$5+$C$10*E14</f>
        <v>327.85714285714283</v>
      </c>
      <c r="J14" s="5">
        <f>($C$9*$G$5-$C$10*E14)*($C$5/2-$C$6)</f>
        <v>73.87714285714287</v>
      </c>
      <c r="K14" s="5">
        <f aca="true" t="shared" si="0" ref="K14:K51">$G14+$I14*L$11/$B$9</f>
        <v>0</v>
      </c>
      <c r="L14" s="5">
        <f aca="true" t="shared" si="1" ref="L14:L51">$H14+$J14*L$11/$B$9</f>
        <v>0</v>
      </c>
      <c r="M14" s="5">
        <f aca="true" t="shared" si="2" ref="M14:O51">$G14+$I14*N$11/$B$9</f>
        <v>81.96428571428571</v>
      </c>
      <c r="N14" s="5">
        <f>$H14+$J14*N$11/$B$9</f>
        <v>18.469285714285718</v>
      </c>
      <c r="O14" s="5">
        <f t="shared" si="2"/>
        <v>163.92857142857142</v>
      </c>
      <c r="P14" s="5">
        <f>$H14+$J14*P$11/$B$9</f>
        <v>36.938571428571436</v>
      </c>
      <c r="Q14" s="5">
        <f>$G14+$I14*R$11/$B$9</f>
        <v>245.8928571428571</v>
      </c>
      <c r="R14" s="5">
        <f>$H14+$J14*R$11/$B$9</f>
        <v>55.407857142857154</v>
      </c>
      <c r="S14" s="5">
        <f>$G14+$I14*T$11/$B$9</f>
        <v>327.85714285714283</v>
      </c>
      <c r="T14" s="5">
        <f>$H14+$J14*T$11/$B$9</f>
        <v>73.87714285714287</v>
      </c>
      <c r="U14" s="5">
        <f>$G14+$I14*V$11/$B$9</f>
        <v>409.8214285714285</v>
      </c>
      <c r="V14" s="5">
        <f>$H14+$J14*V$11/$B$9</f>
        <v>92.34642857142859</v>
      </c>
      <c r="W14" s="5">
        <f>$G14+$I14*X$11/$B$9</f>
        <v>491.7857142857142</v>
      </c>
      <c r="X14" s="5">
        <f>$H14+$J14*X$11/$B$9</f>
        <v>110.81571428571431</v>
      </c>
    </row>
    <row r="15" spans="11:24" ht="12.75"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2.75">
      <c r="A16" s="2" t="s">
        <v>113</v>
      </c>
      <c r="B16" s="15" t="s">
        <v>114</v>
      </c>
      <c r="C16" s="2" t="s">
        <v>111</v>
      </c>
      <c r="D16" s="2" t="s">
        <v>115</v>
      </c>
      <c r="E16" s="15" t="s">
        <v>112</v>
      </c>
      <c r="F16" s="2" t="s">
        <v>74</v>
      </c>
      <c r="G16" s="2" t="s">
        <v>131</v>
      </c>
      <c r="H16" s="2" t="s">
        <v>132</v>
      </c>
      <c r="I16" s="2" t="s">
        <v>35</v>
      </c>
      <c r="J16" s="2" t="s">
        <v>23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2.75">
      <c r="A17" s="2">
        <v>0</v>
      </c>
      <c r="B17" s="5">
        <f>$B$22*A17/$A$22</f>
        <v>0</v>
      </c>
      <c r="C17" s="17">
        <f aca="true" t="shared" si="3" ref="C17:C22">B17*1000</f>
        <v>0</v>
      </c>
      <c r="D17" s="3">
        <f aca="true" t="shared" si="4" ref="D17:D22">($G$5/$B$8-C17)/$C$7</f>
        <v>30357.142857142855</v>
      </c>
      <c r="E17" s="17">
        <f aca="true" t="shared" si="5" ref="E17:E22">$B$8*C17*($C$7-$C$6)/$C$7+$G$5*$C$6/$C$7</f>
        <v>18214.285714285714</v>
      </c>
      <c r="F17" s="7">
        <f aca="true" t="shared" si="6" ref="F17:F22">-C17/($G$5/$B$8-C17)*$C$7</f>
        <v>0</v>
      </c>
      <c r="G17" s="5">
        <f aca="true" t="shared" si="7" ref="G17:G22">$C$4*F17/2*C17</f>
        <v>0</v>
      </c>
      <c r="H17" s="5">
        <f aca="true" t="shared" si="8" ref="H17:H22">-$C$4*F17/2*C17*($C$5/2-F17/3)</f>
        <v>0</v>
      </c>
      <c r="I17" s="5">
        <f aca="true" t="shared" si="9" ref="I17:I22">$C$9*$G$5+$C$10*E17</f>
        <v>327.85714285714283</v>
      </c>
      <c r="J17" s="5">
        <f aca="true" t="shared" si="10" ref="J17:J22">($C$9*$G$5-$C$10*E17)*($C$5/2-$C$6)</f>
        <v>73.87714285714287</v>
      </c>
      <c r="K17" s="5">
        <f t="shared" si="0"/>
        <v>0</v>
      </c>
      <c r="L17" s="5">
        <f t="shared" si="1"/>
        <v>0</v>
      </c>
      <c r="M17" s="5">
        <f t="shared" si="2"/>
        <v>81.96428571428571</v>
      </c>
      <c r="N17" s="5">
        <f aca="true" t="shared" si="11" ref="N17:N22">$H17+$J17*N$11/$B$9</f>
        <v>18.469285714285718</v>
      </c>
      <c r="O17" s="5">
        <f t="shared" si="2"/>
        <v>163.92857142857142</v>
      </c>
      <c r="P17" s="5">
        <f aca="true" t="shared" si="12" ref="P17:P22">$H17+$J17*P$11/$B$9</f>
        <v>36.938571428571436</v>
      </c>
      <c r="Q17" s="5">
        <f aca="true" t="shared" si="13" ref="Q17:Q22">$G17+$I17*R$11/$B$9</f>
        <v>245.8928571428571</v>
      </c>
      <c r="R17" s="5">
        <f aca="true" t="shared" si="14" ref="R17:R22">$H17+$J17*R$11/$B$9</f>
        <v>55.407857142857154</v>
      </c>
      <c r="S17" s="5">
        <f aca="true" t="shared" si="15" ref="S17:S22">$G17+$I17*T$11/$B$9</f>
        <v>327.85714285714283</v>
      </c>
      <c r="T17" s="5">
        <f aca="true" t="shared" si="16" ref="T17:T22">$H17+$J17*T$11/$B$9</f>
        <v>73.87714285714287</v>
      </c>
      <c r="U17" s="5">
        <f aca="true" t="shared" si="17" ref="U17:U22">$G17+$I17*V$11/$B$9</f>
        <v>409.8214285714285</v>
      </c>
      <c r="V17" s="5">
        <f aca="true" t="shared" si="18" ref="V17:V22">$H17+$J17*V$11/$B$9</f>
        <v>92.34642857142859</v>
      </c>
      <c r="W17" s="5">
        <f aca="true" t="shared" si="19" ref="W17:W22">$G17+$I17*X$11/$B$9</f>
        <v>491.7857142857142</v>
      </c>
      <c r="X17" s="5">
        <f aca="true" t="shared" si="20" ref="X17:X22">$H17+$J17*X$11/$B$9</f>
        <v>110.81571428571431</v>
      </c>
    </row>
    <row r="18" spans="1:24" ht="12.75">
      <c r="A18" s="2">
        <v>1</v>
      </c>
      <c r="B18" s="5">
        <f>$B$22*A18/$A$22</f>
        <v>-1.7</v>
      </c>
      <c r="C18" s="17">
        <f t="shared" si="3"/>
        <v>-1700</v>
      </c>
      <c r="D18" s="3">
        <f t="shared" si="4"/>
        <v>33392.85714285714</v>
      </c>
      <c r="E18" s="17">
        <f t="shared" si="5"/>
        <v>-5464.285714285714</v>
      </c>
      <c r="F18" s="7">
        <f t="shared" si="6"/>
        <v>0.05090909090909092</v>
      </c>
      <c r="G18" s="5">
        <f t="shared" si="7"/>
        <v>-12.981818181818184</v>
      </c>
      <c r="H18" s="5">
        <f t="shared" si="8"/>
        <v>3.674247933884298</v>
      </c>
      <c r="I18" s="5">
        <f t="shared" si="9"/>
        <v>299.4428571428571</v>
      </c>
      <c r="J18" s="5">
        <f t="shared" si="10"/>
        <v>81.26485714285715</v>
      </c>
      <c r="K18" s="5">
        <f t="shared" si="0"/>
        <v>-12.981818181818184</v>
      </c>
      <c r="L18" s="5">
        <f t="shared" si="1"/>
        <v>3.674247933884298</v>
      </c>
      <c r="M18" s="5">
        <f t="shared" si="2"/>
        <v>61.878896103896096</v>
      </c>
      <c r="N18" s="5">
        <f t="shared" si="11"/>
        <v>23.990462219598587</v>
      </c>
      <c r="O18" s="5">
        <f t="shared" si="2"/>
        <v>136.7396103896104</v>
      </c>
      <c r="P18" s="5">
        <f t="shared" si="12"/>
        <v>44.30667650531287</v>
      </c>
      <c r="Q18" s="5">
        <f t="shared" si="13"/>
        <v>211.60032467532466</v>
      </c>
      <c r="R18" s="5">
        <f t="shared" si="14"/>
        <v>64.62289079102716</v>
      </c>
      <c r="S18" s="5">
        <f t="shared" si="15"/>
        <v>286.4610389610389</v>
      </c>
      <c r="T18" s="5">
        <f t="shared" si="16"/>
        <v>84.93910507674146</v>
      </c>
      <c r="U18" s="5">
        <f t="shared" si="17"/>
        <v>361.3217532467532</v>
      </c>
      <c r="V18" s="5">
        <f t="shared" si="18"/>
        <v>105.25531936245574</v>
      </c>
      <c r="W18" s="5">
        <f t="shared" si="19"/>
        <v>436.18246753246746</v>
      </c>
      <c r="X18" s="5">
        <f t="shared" si="20"/>
        <v>125.57153364817003</v>
      </c>
    </row>
    <row r="19" spans="1:24" ht="12.75">
      <c r="A19" s="2">
        <v>2</v>
      </c>
      <c r="B19" s="5">
        <f>$B$22*A19/$A$22</f>
        <v>-3.4</v>
      </c>
      <c r="C19" s="17">
        <f t="shared" si="3"/>
        <v>-3400</v>
      </c>
      <c r="D19" s="3">
        <f t="shared" si="4"/>
        <v>36428.57142857143</v>
      </c>
      <c r="E19" s="17">
        <f t="shared" si="5"/>
        <v>-29142.85714285714</v>
      </c>
      <c r="F19" s="7">
        <f t="shared" si="6"/>
        <v>0.09333333333333334</v>
      </c>
      <c r="G19" s="5">
        <f t="shared" si="7"/>
        <v>-47.6</v>
      </c>
      <c r="H19" s="5">
        <f t="shared" si="8"/>
        <v>12.799111111111111</v>
      </c>
      <c r="I19" s="5">
        <f t="shared" si="9"/>
        <v>271.0285714285714</v>
      </c>
      <c r="J19" s="5">
        <f t="shared" si="10"/>
        <v>88.65257142857143</v>
      </c>
      <c r="K19" s="5">
        <f t="shared" si="0"/>
        <v>-47.6</v>
      </c>
      <c r="L19" s="5">
        <f t="shared" si="1"/>
        <v>12.799111111111111</v>
      </c>
      <c r="M19" s="5">
        <f t="shared" si="2"/>
        <v>20.15714285714285</v>
      </c>
      <c r="N19" s="5">
        <f t="shared" si="11"/>
        <v>34.96225396825397</v>
      </c>
      <c r="O19" s="5">
        <f t="shared" si="2"/>
        <v>87.91428571428571</v>
      </c>
      <c r="P19" s="5">
        <f t="shared" si="12"/>
        <v>57.12539682539683</v>
      </c>
      <c r="Q19" s="5">
        <f t="shared" si="13"/>
        <v>155.67142857142858</v>
      </c>
      <c r="R19" s="5">
        <f t="shared" si="14"/>
        <v>79.28853968253969</v>
      </c>
      <c r="S19" s="5">
        <f t="shared" si="15"/>
        <v>223.42857142857142</v>
      </c>
      <c r="T19" s="5">
        <f t="shared" si="16"/>
        <v>101.45168253968255</v>
      </c>
      <c r="U19" s="5">
        <f t="shared" si="17"/>
        <v>291.18571428571425</v>
      </c>
      <c r="V19" s="5">
        <f t="shared" si="18"/>
        <v>123.61482539682541</v>
      </c>
      <c r="W19" s="5">
        <f t="shared" si="19"/>
        <v>358.9428571428571</v>
      </c>
      <c r="X19" s="5">
        <f t="shared" si="20"/>
        <v>145.77796825396825</v>
      </c>
    </row>
    <row r="20" spans="1:24" ht="12.75">
      <c r="A20" s="2">
        <v>3</v>
      </c>
      <c r="B20" s="5">
        <f>$B$22*A20/$A$22</f>
        <v>-5.1</v>
      </c>
      <c r="C20" s="17">
        <f t="shared" si="3"/>
        <v>-5100</v>
      </c>
      <c r="D20" s="3">
        <f t="shared" si="4"/>
        <v>39464.28571428571</v>
      </c>
      <c r="E20" s="17">
        <f t="shared" si="5"/>
        <v>-52821.428571428565</v>
      </c>
      <c r="F20" s="7">
        <f t="shared" si="6"/>
        <v>0.12923076923076926</v>
      </c>
      <c r="G20" s="5">
        <f t="shared" si="7"/>
        <v>-98.86153846153849</v>
      </c>
      <c r="H20" s="5">
        <f t="shared" si="8"/>
        <v>25.39981065088758</v>
      </c>
      <c r="I20" s="5">
        <f t="shared" si="9"/>
        <v>242.61428571428573</v>
      </c>
      <c r="J20" s="5">
        <f t="shared" si="10"/>
        <v>96.0402857142857</v>
      </c>
      <c r="K20" s="5">
        <f t="shared" si="0"/>
        <v>-98.86153846153849</v>
      </c>
      <c r="L20" s="5">
        <f t="shared" si="1"/>
        <v>25.39981065088758</v>
      </c>
      <c r="M20" s="5">
        <f t="shared" si="2"/>
        <v>-38.207967032967055</v>
      </c>
      <c r="N20" s="5">
        <f t="shared" si="11"/>
        <v>49.40988207945901</v>
      </c>
      <c r="O20" s="5">
        <f t="shared" si="2"/>
        <v>22.445604395604377</v>
      </c>
      <c r="P20" s="5">
        <f t="shared" si="12"/>
        <v>73.41995350803043</v>
      </c>
      <c r="Q20" s="5">
        <f t="shared" si="13"/>
        <v>83.0991758241758</v>
      </c>
      <c r="R20" s="5">
        <f t="shared" si="14"/>
        <v>97.43002493660185</v>
      </c>
      <c r="S20" s="5">
        <f t="shared" si="15"/>
        <v>143.75274725274724</v>
      </c>
      <c r="T20" s="5">
        <f t="shared" si="16"/>
        <v>121.44009636517328</v>
      </c>
      <c r="U20" s="5">
        <f t="shared" si="17"/>
        <v>204.40631868131868</v>
      </c>
      <c r="V20" s="5">
        <f t="shared" si="18"/>
        <v>145.4501677937447</v>
      </c>
      <c r="W20" s="5">
        <f t="shared" si="19"/>
        <v>265.0598901098901</v>
      </c>
      <c r="X20" s="5">
        <f t="shared" si="20"/>
        <v>169.46023922231615</v>
      </c>
    </row>
    <row r="21" spans="1:24" ht="12.75">
      <c r="A21" s="2">
        <v>4</v>
      </c>
      <c r="B21" s="5">
        <f>$B$22*A21/$A$22</f>
        <v>-6.8</v>
      </c>
      <c r="C21" s="17">
        <f t="shared" si="3"/>
        <v>-6800</v>
      </c>
      <c r="D21" s="3">
        <f t="shared" si="4"/>
        <v>42499.99999999999</v>
      </c>
      <c r="E21" s="17">
        <f t="shared" si="5"/>
        <v>-76500</v>
      </c>
      <c r="F21" s="7">
        <f t="shared" si="6"/>
        <v>0.16</v>
      </c>
      <c r="G21" s="5">
        <f t="shared" si="7"/>
        <v>-163.20000000000002</v>
      </c>
      <c r="H21" s="5">
        <f t="shared" si="8"/>
        <v>40.256</v>
      </c>
      <c r="I21" s="5">
        <f t="shared" si="9"/>
        <v>214.2</v>
      </c>
      <c r="J21" s="5">
        <f t="shared" si="10"/>
        <v>103.42800000000001</v>
      </c>
      <c r="K21" s="5">
        <f t="shared" si="0"/>
        <v>-163.20000000000002</v>
      </c>
      <c r="L21" s="5">
        <f t="shared" si="1"/>
        <v>40.256</v>
      </c>
      <c r="M21" s="5">
        <f t="shared" si="2"/>
        <v>-109.65000000000003</v>
      </c>
      <c r="N21" s="5">
        <f t="shared" si="11"/>
        <v>66.113</v>
      </c>
      <c r="O21" s="5">
        <f t="shared" si="2"/>
        <v>-56.10000000000004</v>
      </c>
      <c r="P21" s="5">
        <f t="shared" si="12"/>
        <v>91.97</v>
      </c>
      <c r="Q21" s="5">
        <f t="shared" si="13"/>
        <v>-2.5500000000000114</v>
      </c>
      <c r="R21" s="5">
        <f t="shared" si="14"/>
        <v>117.82700000000001</v>
      </c>
      <c r="S21" s="5">
        <f t="shared" si="15"/>
        <v>50.99999999999994</v>
      </c>
      <c r="T21" s="5">
        <f t="shared" si="16"/>
        <v>143.68400000000003</v>
      </c>
      <c r="U21" s="5">
        <f t="shared" si="17"/>
        <v>104.54999999999998</v>
      </c>
      <c r="V21" s="5">
        <f t="shared" si="18"/>
        <v>169.541</v>
      </c>
      <c r="W21" s="5">
        <f t="shared" si="19"/>
        <v>158.1</v>
      </c>
      <c r="X21" s="5">
        <f t="shared" si="20"/>
        <v>195.39800000000002</v>
      </c>
    </row>
    <row r="22" spans="1:24" ht="12.75">
      <c r="A22" s="2">
        <v>5</v>
      </c>
      <c r="B22" s="5">
        <f>-$F$4</f>
        <v>-8.5</v>
      </c>
      <c r="C22" s="17">
        <f t="shared" si="3"/>
        <v>-8500</v>
      </c>
      <c r="D22" s="3">
        <f t="shared" si="4"/>
        <v>45535.71428571428</v>
      </c>
      <c r="E22" s="17">
        <f t="shared" si="5"/>
        <v>-100178.57142857142</v>
      </c>
      <c r="F22" s="7">
        <f t="shared" si="6"/>
        <v>0.18666666666666668</v>
      </c>
      <c r="G22" s="5">
        <f t="shared" si="7"/>
        <v>-238</v>
      </c>
      <c r="H22" s="5">
        <f t="shared" si="8"/>
        <v>56.591111111111104</v>
      </c>
      <c r="I22" s="5">
        <f t="shared" si="9"/>
        <v>185.7857142857143</v>
      </c>
      <c r="J22" s="5">
        <f t="shared" si="10"/>
        <v>110.81571428571428</v>
      </c>
      <c r="K22" s="5">
        <f t="shared" si="0"/>
        <v>-238</v>
      </c>
      <c r="L22" s="5">
        <f t="shared" si="1"/>
        <v>56.591111111111104</v>
      </c>
      <c r="M22" s="5">
        <f t="shared" si="2"/>
        <v>-191.55357142857142</v>
      </c>
      <c r="N22" s="5">
        <f t="shared" si="11"/>
        <v>84.29503968253967</v>
      </c>
      <c r="O22" s="5">
        <f t="shared" si="2"/>
        <v>-145.10714285714283</v>
      </c>
      <c r="P22" s="5">
        <f t="shared" si="12"/>
        <v>111.99896825396823</v>
      </c>
      <c r="Q22" s="5">
        <f t="shared" si="13"/>
        <v>-98.66071428571428</v>
      </c>
      <c r="R22" s="5">
        <f t="shared" si="14"/>
        <v>139.7028968253968</v>
      </c>
      <c r="S22" s="5">
        <f t="shared" si="15"/>
        <v>-52.214285714285694</v>
      </c>
      <c r="T22" s="5">
        <f t="shared" si="16"/>
        <v>167.40682539682535</v>
      </c>
      <c r="U22" s="5">
        <f t="shared" si="17"/>
        <v>-5.76785714285711</v>
      </c>
      <c r="V22" s="5">
        <f t="shared" si="18"/>
        <v>195.11075396825396</v>
      </c>
      <c r="W22" s="5">
        <f t="shared" si="19"/>
        <v>40.678571428571445</v>
      </c>
      <c r="X22" s="5">
        <f t="shared" si="20"/>
        <v>222.81468253968254</v>
      </c>
    </row>
    <row r="23" spans="11:24" ht="12.75"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2.75">
      <c r="A24" s="2" t="s">
        <v>117</v>
      </c>
      <c r="B24" s="15" t="s">
        <v>118</v>
      </c>
      <c r="C24" s="2" t="s">
        <v>111</v>
      </c>
      <c r="D24" s="2" t="s">
        <v>115</v>
      </c>
      <c r="E24" s="15" t="s">
        <v>112</v>
      </c>
      <c r="F24" s="2" t="s">
        <v>74</v>
      </c>
      <c r="G24" s="2" t="s">
        <v>131</v>
      </c>
      <c r="H24" s="2" t="s">
        <v>132</v>
      </c>
      <c r="I24" s="2" t="s">
        <v>35</v>
      </c>
      <c r="J24" s="2" t="s">
        <v>23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2.75">
      <c r="A25" s="2">
        <v>0</v>
      </c>
      <c r="B25" s="5">
        <f aca="true" t="shared" si="21" ref="B25:B44">$F$5+($B$45-$F$5)*A25/$A$45</f>
        <v>255</v>
      </c>
      <c r="C25" s="17">
        <f aca="true" t="shared" si="22" ref="C25:C45">B25*1000</f>
        <v>255000</v>
      </c>
      <c r="D25" s="3">
        <f aca="true" t="shared" si="23" ref="D25:D45">(C25/$B$8+$G$4)/$C$7</f>
        <v>45535.71428571428</v>
      </c>
      <c r="E25" s="17">
        <f aca="true" t="shared" si="24" ref="E25:E45">-$B$8*$G$4*($C$7-$C$6)/$C$7+C25*$C$6/$C$7</f>
        <v>-100178.57142857142</v>
      </c>
      <c r="F25" s="7">
        <f aca="true" t="shared" si="25" ref="F25:F45">$G$4/(C25/$B$8+$G$4)*$C$7</f>
        <v>0.18666666666666668</v>
      </c>
      <c r="G25" s="5">
        <f>-$C$4*F25/2*$G$4</f>
        <v>-238</v>
      </c>
      <c r="H25" s="5">
        <f>$C$4*F25/2*$G$4*($C$5/2-F25/3)</f>
        <v>56.591111111111104</v>
      </c>
      <c r="I25" s="5">
        <f>$C$9*C25+$C$10*E25</f>
        <v>185.7857142857143</v>
      </c>
      <c r="J25" s="5">
        <f>($C$9*C25-$C$10*E25)*($C$5/2-$C$6)</f>
        <v>110.81571428571428</v>
      </c>
      <c r="K25" s="5">
        <f t="shared" si="0"/>
        <v>-238</v>
      </c>
      <c r="L25" s="5">
        <f t="shared" si="1"/>
        <v>56.591111111111104</v>
      </c>
      <c r="M25" s="5">
        <f t="shared" si="2"/>
        <v>-191.55357142857142</v>
      </c>
      <c r="N25" s="5">
        <f aca="true" t="shared" si="26" ref="N25:N45">$H25+$J25*N$11/$B$9</f>
        <v>84.29503968253967</v>
      </c>
      <c r="O25" s="5">
        <f t="shared" si="2"/>
        <v>-145.10714285714283</v>
      </c>
      <c r="P25" s="5">
        <f aca="true" t="shared" si="27" ref="P25:P45">$H25+$J25*P$11/$B$9</f>
        <v>111.99896825396823</v>
      </c>
      <c r="Q25" s="5">
        <f aca="true" t="shared" si="28" ref="Q25:Q45">$G25+$I25*R$11/$B$9</f>
        <v>-98.66071428571428</v>
      </c>
      <c r="R25" s="5">
        <f aca="true" t="shared" si="29" ref="R25:R45">$H25+$J25*R$11/$B$9</f>
        <v>139.7028968253968</v>
      </c>
      <c r="S25" s="5">
        <f aca="true" t="shared" si="30" ref="S25:S45">$G25+$I25*T$11/$B$9</f>
        <v>-52.214285714285694</v>
      </c>
      <c r="T25" s="5">
        <f aca="true" t="shared" si="31" ref="T25:T45">$H25+$J25*T$11/$B$9</f>
        <v>167.40682539682535</v>
      </c>
      <c r="U25" s="5">
        <f aca="true" t="shared" si="32" ref="U25:U45">$G25+$I25*V$11/$B$9</f>
        <v>-5.76785714285711</v>
      </c>
      <c r="V25" s="5">
        <f aca="true" t="shared" si="33" ref="V25:V45">$H25+$J25*V$11/$B$9</f>
        <v>195.11075396825396</v>
      </c>
      <c r="W25" s="5">
        <f aca="true" t="shared" si="34" ref="W25:W45">$G25+$I25*X$11/$B$9</f>
        <v>40.678571428571445</v>
      </c>
      <c r="X25" s="5">
        <f aca="true" t="shared" si="35" ref="X25:X45">$H25+$J25*X$11/$B$9</f>
        <v>222.81468253968254</v>
      </c>
    </row>
    <row r="26" spans="1:24" ht="12.75">
      <c r="A26" s="2">
        <v>1</v>
      </c>
      <c r="B26" s="5">
        <f t="shared" si="21"/>
        <v>241.825</v>
      </c>
      <c r="C26" s="17">
        <f t="shared" si="22"/>
        <v>241825</v>
      </c>
      <c r="D26" s="3">
        <f t="shared" si="23"/>
        <v>43967.261904761894</v>
      </c>
      <c r="E26" s="17">
        <f t="shared" si="24"/>
        <v>-101119.64285714284</v>
      </c>
      <c r="F26" s="7">
        <f t="shared" si="25"/>
        <v>0.1933256616800921</v>
      </c>
      <c r="G26" s="5">
        <f aca="true" t="shared" si="36" ref="G26:G45">-$C$4*F26/2*$G$4</f>
        <v>-246.4902186421174</v>
      </c>
      <c r="H26" s="5">
        <f aca="true" t="shared" si="37" ref="H26:H45">$C$4*F26/2*$G$4*($C$5/2-F26/3)</f>
        <v>58.06277072041591</v>
      </c>
      <c r="I26" s="5">
        <f aca="true" t="shared" si="38" ref="I26:I45">$C$9*C26+$C$10*E26</f>
        <v>168.8464285714286</v>
      </c>
      <c r="J26" s="5">
        <f aca="true" t="shared" si="39" ref="J26:J45">($C$9*C26-$C$10*E26)*($C$5/2-$C$6)</f>
        <v>106.99872857142857</v>
      </c>
      <c r="K26" s="5">
        <f t="shared" si="0"/>
        <v>-246.4902186421174</v>
      </c>
      <c r="L26" s="5">
        <f t="shared" si="1"/>
        <v>58.06277072041591</v>
      </c>
      <c r="M26" s="5">
        <f t="shared" si="2"/>
        <v>-204.27861149926025</v>
      </c>
      <c r="N26" s="5">
        <f t="shared" si="26"/>
        <v>84.81245286327305</v>
      </c>
      <c r="O26" s="5">
        <f t="shared" si="2"/>
        <v>-162.06700435640312</v>
      </c>
      <c r="P26" s="5">
        <f t="shared" si="27"/>
        <v>111.5621350061302</v>
      </c>
      <c r="Q26" s="5">
        <f t="shared" si="28"/>
        <v>-119.85539721354597</v>
      </c>
      <c r="R26" s="5">
        <f t="shared" si="29"/>
        <v>138.31181714898736</v>
      </c>
      <c r="S26" s="5">
        <f t="shared" si="30"/>
        <v>-77.64379007068882</v>
      </c>
      <c r="T26" s="5">
        <f t="shared" si="31"/>
        <v>165.06149929184448</v>
      </c>
      <c r="U26" s="5">
        <f t="shared" si="32"/>
        <v>-35.43218292783166</v>
      </c>
      <c r="V26" s="5">
        <f t="shared" si="33"/>
        <v>191.8111814347016</v>
      </c>
      <c r="W26" s="5">
        <f t="shared" si="34"/>
        <v>6.779424215025472</v>
      </c>
      <c r="X26" s="5">
        <f t="shared" si="35"/>
        <v>218.5608635775588</v>
      </c>
    </row>
    <row r="27" spans="1:24" ht="12.75">
      <c r="A27" s="2">
        <v>2</v>
      </c>
      <c r="B27" s="5">
        <f t="shared" si="21"/>
        <v>228.65</v>
      </c>
      <c r="C27" s="17">
        <f t="shared" si="22"/>
        <v>228650</v>
      </c>
      <c r="D27" s="3">
        <f t="shared" si="23"/>
        <v>42398.80952380953</v>
      </c>
      <c r="E27" s="17">
        <f t="shared" si="24"/>
        <v>-102060.71428571428</v>
      </c>
      <c r="F27" s="7">
        <f t="shared" si="25"/>
        <v>0.20047732696897372</v>
      </c>
      <c r="G27" s="5">
        <f t="shared" si="36"/>
        <v>-255.60859188544148</v>
      </c>
      <c r="H27" s="5">
        <f t="shared" si="37"/>
        <v>59.6013351484669</v>
      </c>
      <c r="I27" s="5">
        <f t="shared" si="38"/>
        <v>151.90714285714287</v>
      </c>
      <c r="J27" s="5">
        <f t="shared" si="39"/>
        <v>103.18174285714286</v>
      </c>
      <c r="K27" s="5">
        <f t="shared" si="0"/>
        <v>-255.60859188544148</v>
      </c>
      <c r="L27" s="5">
        <f t="shared" si="1"/>
        <v>59.6013351484669</v>
      </c>
      <c r="M27" s="5">
        <f t="shared" si="2"/>
        <v>-217.63180617115577</v>
      </c>
      <c r="N27" s="5">
        <f t="shared" si="26"/>
        <v>85.39677086275262</v>
      </c>
      <c r="O27" s="5">
        <f t="shared" si="2"/>
        <v>-179.65502045687003</v>
      </c>
      <c r="P27" s="5">
        <f t="shared" si="27"/>
        <v>111.19220657703833</v>
      </c>
      <c r="Q27" s="5">
        <f t="shared" si="28"/>
        <v>-141.67823474258432</v>
      </c>
      <c r="R27" s="5">
        <f t="shared" si="29"/>
        <v>136.98764229132405</v>
      </c>
      <c r="S27" s="5">
        <f t="shared" si="30"/>
        <v>-103.70144902829861</v>
      </c>
      <c r="T27" s="5">
        <f t="shared" si="31"/>
        <v>162.78307800560975</v>
      </c>
      <c r="U27" s="5">
        <f t="shared" si="32"/>
        <v>-65.7246633140129</v>
      </c>
      <c r="V27" s="5">
        <f t="shared" si="33"/>
        <v>188.5785137198955</v>
      </c>
      <c r="W27" s="5">
        <f t="shared" si="34"/>
        <v>-27.74787759972719</v>
      </c>
      <c r="X27" s="5">
        <f t="shared" si="35"/>
        <v>214.3739494341812</v>
      </c>
    </row>
    <row r="28" spans="1:24" ht="12.75">
      <c r="A28" s="2">
        <v>3</v>
      </c>
      <c r="B28" s="5">
        <f t="shared" si="21"/>
        <v>215.475</v>
      </c>
      <c r="C28" s="17">
        <f t="shared" si="22"/>
        <v>215475</v>
      </c>
      <c r="D28" s="3">
        <f t="shared" si="23"/>
        <v>40830.35714285714</v>
      </c>
      <c r="E28" s="17">
        <f t="shared" si="24"/>
        <v>-103001.78571428571</v>
      </c>
      <c r="F28" s="7">
        <f t="shared" si="25"/>
        <v>0.20817843866171004</v>
      </c>
      <c r="G28" s="5">
        <f t="shared" si="36"/>
        <v>-265.4275092936803</v>
      </c>
      <c r="H28" s="5">
        <f t="shared" si="37"/>
        <v>61.209491300562455</v>
      </c>
      <c r="I28" s="5">
        <f t="shared" si="38"/>
        <v>134.96785714285716</v>
      </c>
      <c r="J28" s="5">
        <f t="shared" si="39"/>
        <v>99.36475714285714</v>
      </c>
      <c r="K28" s="5">
        <f t="shared" si="0"/>
        <v>-265.4275092936803</v>
      </c>
      <c r="L28" s="5">
        <f t="shared" si="1"/>
        <v>61.209491300562455</v>
      </c>
      <c r="M28" s="5">
        <f t="shared" si="2"/>
        <v>-231.68554500796603</v>
      </c>
      <c r="N28" s="5">
        <f t="shared" si="26"/>
        <v>86.05068058627674</v>
      </c>
      <c r="O28" s="5">
        <f t="shared" si="2"/>
        <v>-197.94358072225174</v>
      </c>
      <c r="P28" s="5">
        <f t="shared" si="27"/>
        <v>110.89186987199103</v>
      </c>
      <c r="Q28" s="5">
        <f t="shared" si="28"/>
        <v>-164.20161643653745</v>
      </c>
      <c r="R28" s="5">
        <f t="shared" si="29"/>
        <v>135.7330591577053</v>
      </c>
      <c r="S28" s="5">
        <f t="shared" si="30"/>
        <v>-130.45965215082316</v>
      </c>
      <c r="T28" s="5">
        <f t="shared" si="31"/>
        <v>160.5742484434196</v>
      </c>
      <c r="U28" s="5">
        <f t="shared" si="32"/>
        <v>-96.71768786510887</v>
      </c>
      <c r="V28" s="5">
        <f t="shared" si="33"/>
        <v>185.41543772913388</v>
      </c>
      <c r="W28" s="5">
        <f t="shared" si="34"/>
        <v>-62.97572357939458</v>
      </c>
      <c r="X28" s="5">
        <f t="shared" si="35"/>
        <v>210.25662701484816</v>
      </c>
    </row>
    <row r="29" spans="1:24" ht="12.75">
      <c r="A29" s="2">
        <v>4</v>
      </c>
      <c r="B29" s="5">
        <f t="shared" si="21"/>
        <v>202.3</v>
      </c>
      <c r="C29" s="17">
        <f t="shared" si="22"/>
        <v>202300</v>
      </c>
      <c r="D29" s="3">
        <f t="shared" si="23"/>
        <v>39261.904761904756</v>
      </c>
      <c r="E29" s="17">
        <f t="shared" si="24"/>
        <v>-103942.85714285713</v>
      </c>
      <c r="F29" s="7">
        <f t="shared" si="25"/>
        <v>0.2164948453608248</v>
      </c>
      <c r="G29" s="5">
        <f t="shared" si="36"/>
        <v>-276.0309278350516</v>
      </c>
      <c r="H29" s="5">
        <f t="shared" si="37"/>
        <v>62.88952067169732</v>
      </c>
      <c r="I29" s="5">
        <f t="shared" si="38"/>
        <v>118.02857142857144</v>
      </c>
      <c r="J29" s="5">
        <f t="shared" si="39"/>
        <v>95.54777142857142</v>
      </c>
      <c r="K29" s="5">
        <f t="shared" si="0"/>
        <v>-276.0309278350516</v>
      </c>
      <c r="L29" s="5">
        <f t="shared" si="1"/>
        <v>62.88952067169732</v>
      </c>
      <c r="M29" s="5">
        <f t="shared" si="2"/>
        <v>-246.52378497790875</v>
      </c>
      <c r="N29" s="5">
        <f t="shared" si="26"/>
        <v>86.77646352884017</v>
      </c>
      <c r="O29" s="5">
        <f t="shared" si="2"/>
        <v>-217.0166421207659</v>
      </c>
      <c r="P29" s="5">
        <f t="shared" si="27"/>
        <v>110.66340638598302</v>
      </c>
      <c r="Q29" s="5">
        <f t="shared" si="28"/>
        <v>-187.509499263623</v>
      </c>
      <c r="R29" s="5">
        <f t="shared" si="29"/>
        <v>134.55034924312588</v>
      </c>
      <c r="S29" s="5">
        <f t="shared" si="30"/>
        <v>-158.0023564064802</v>
      </c>
      <c r="T29" s="5">
        <f t="shared" si="31"/>
        <v>158.43729210026873</v>
      </c>
      <c r="U29" s="5">
        <f t="shared" si="32"/>
        <v>-128.4952135493373</v>
      </c>
      <c r="V29" s="5">
        <f t="shared" si="33"/>
        <v>182.3242349574116</v>
      </c>
      <c r="W29" s="5">
        <f t="shared" si="34"/>
        <v>-98.98807069219444</v>
      </c>
      <c r="X29" s="5">
        <f t="shared" si="35"/>
        <v>206.21117781455445</v>
      </c>
    </row>
    <row r="30" spans="1:24" ht="12.75">
      <c r="A30" s="2">
        <v>5</v>
      </c>
      <c r="B30" s="5">
        <f t="shared" si="21"/>
        <v>189.125</v>
      </c>
      <c r="C30" s="17">
        <f t="shared" si="22"/>
        <v>189125</v>
      </c>
      <c r="D30" s="3">
        <f t="shared" si="23"/>
        <v>37693.45238095238</v>
      </c>
      <c r="E30" s="17">
        <f t="shared" si="24"/>
        <v>-104883.92857142857</v>
      </c>
      <c r="F30" s="7">
        <f t="shared" si="25"/>
        <v>0.22550335570469798</v>
      </c>
      <c r="G30" s="5">
        <f t="shared" si="36"/>
        <v>-287.5167785234899</v>
      </c>
      <c r="H30" s="5">
        <f t="shared" si="37"/>
        <v>64.64303409756317</v>
      </c>
      <c r="I30" s="5">
        <f t="shared" si="38"/>
        <v>101.08928571428572</v>
      </c>
      <c r="J30" s="5">
        <f t="shared" si="39"/>
        <v>91.73078571428572</v>
      </c>
      <c r="K30" s="5">
        <f t="shared" si="0"/>
        <v>-287.5167785234899</v>
      </c>
      <c r="L30" s="5">
        <f t="shared" si="1"/>
        <v>64.64303409756317</v>
      </c>
      <c r="M30" s="5">
        <f t="shared" si="2"/>
        <v>-262.24445709491846</v>
      </c>
      <c r="N30" s="5">
        <f t="shared" si="26"/>
        <v>87.5757305261346</v>
      </c>
      <c r="O30" s="5">
        <f t="shared" si="2"/>
        <v>-236.97213566634704</v>
      </c>
      <c r="P30" s="5">
        <f t="shared" si="27"/>
        <v>110.50842695470604</v>
      </c>
      <c r="Q30" s="5">
        <f t="shared" si="28"/>
        <v>-211.69981423777563</v>
      </c>
      <c r="R30" s="5">
        <f t="shared" si="29"/>
        <v>133.44112338327744</v>
      </c>
      <c r="S30" s="5">
        <f t="shared" si="30"/>
        <v>-186.42749280920418</v>
      </c>
      <c r="T30" s="5">
        <f t="shared" si="31"/>
        <v>156.37381981184888</v>
      </c>
      <c r="U30" s="5">
        <f t="shared" si="32"/>
        <v>-161.15517138063274</v>
      </c>
      <c r="V30" s="5">
        <f t="shared" si="33"/>
        <v>179.3065162404203</v>
      </c>
      <c r="W30" s="5">
        <f t="shared" si="34"/>
        <v>-135.88284995206132</v>
      </c>
      <c r="X30" s="5">
        <f t="shared" si="35"/>
        <v>202.23921266899174</v>
      </c>
    </row>
    <row r="31" spans="1:24" ht="12.75">
      <c r="A31" s="2">
        <v>6</v>
      </c>
      <c r="B31" s="5">
        <f t="shared" si="21"/>
        <v>175.95</v>
      </c>
      <c r="C31" s="17">
        <f t="shared" si="22"/>
        <v>175950</v>
      </c>
      <c r="D31" s="3">
        <f t="shared" si="23"/>
        <v>36125</v>
      </c>
      <c r="E31" s="17">
        <f t="shared" si="24"/>
        <v>-105824.99999999999</v>
      </c>
      <c r="F31" s="7">
        <f t="shared" si="25"/>
        <v>0.23529411764705885</v>
      </c>
      <c r="G31" s="5">
        <f t="shared" si="36"/>
        <v>-300</v>
      </c>
      <c r="H31" s="5">
        <f t="shared" si="37"/>
        <v>66.47058823529412</v>
      </c>
      <c r="I31" s="5">
        <f t="shared" si="38"/>
        <v>84.15000000000002</v>
      </c>
      <c r="J31" s="5">
        <f t="shared" si="39"/>
        <v>87.91379999999998</v>
      </c>
      <c r="K31" s="5">
        <f t="shared" si="0"/>
        <v>-300</v>
      </c>
      <c r="L31" s="5">
        <f t="shared" si="1"/>
        <v>66.47058823529412</v>
      </c>
      <c r="M31" s="5">
        <f t="shared" si="2"/>
        <v>-278.9625</v>
      </c>
      <c r="N31" s="5">
        <f t="shared" si="26"/>
        <v>88.44903823529411</v>
      </c>
      <c r="O31" s="5">
        <f t="shared" si="2"/>
        <v>-257.925</v>
      </c>
      <c r="P31" s="5">
        <f t="shared" si="27"/>
        <v>110.4274882352941</v>
      </c>
      <c r="Q31" s="5">
        <f t="shared" si="28"/>
        <v>-236.8875</v>
      </c>
      <c r="R31" s="5">
        <f t="shared" si="29"/>
        <v>132.40593823529412</v>
      </c>
      <c r="S31" s="5">
        <f t="shared" si="30"/>
        <v>-215.84999999999997</v>
      </c>
      <c r="T31" s="5">
        <f t="shared" si="31"/>
        <v>154.3843882352941</v>
      </c>
      <c r="U31" s="5">
        <f t="shared" si="32"/>
        <v>-194.8125</v>
      </c>
      <c r="V31" s="5">
        <f t="shared" si="33"/>
        <v>176.36283823529408</v>
      </c>
      <c r="W31" s="5">
        <f t="shared" si="34"/>
        <v>-173.77499999999998</v>
      </c>
      <c r="X31" s="5">
        <f t="shared" si="35"/>
        <v>198.3412882352941</v>
      </c>
    </row>
    <row r="32" spans="1:24" ht="12.75">
      <c r="A32" s="2">
        <v>7</v>
      </c>
      <c r="B32" s="5">
        <f t="shared" si="21"/>
        <v>162.775</v>
      </c>
      <c r="C32" s="17">
        <f t="shared" si="22"/>
        <v>162775</v>
      </c>
      <c r="D32" s="3">
        <f t="shared" si="23"/>
        <v>34556.54761904761</v>
      </c>
      <c r="E32" s="17">
        <f t="shared" si="24"/>
        <v>-106766.07142857142</v>
      </c>
      <c r="F32" s="7">
        <f t="shared" si="25"/>
        <v>0.24597364568081997</v>
      </c>
      <c r="G32" s="5">
        <f t="shared" si="36"/>
        <v>-313.6163982430454</v>
      </c>
      <c r="H32" s="5">
        <f t="shared" si="37"/>
        <v>68.37112986587036</v>
      </c>
      <c r="I32" s="5">
        <f t="shared" si="38"/>
        <v>67.21071428571429</v>
      </c>
      <c r="J32" s="5">
        <f t="shared" si="39"/>
        <v>84.09681428571427</v>
      </c>
      <c r="K32" s="5">
        <f t="shared" si="0"/>
        <v>-313.6163982430454</v>
      </c>
      <c r="L32" s="5">
        <f t="shared" si="1"/>
        <v>68.37112986587036</v>
      </c>
      <c r="M32" s="5">
        <f t="shared" si="2"/>
        <v>-296.8137196716168</v>
      </c>
      <c r="N32" s="5">
        <f t="shared" si="26"/>
        <v>89.39533343729893</v>
      </c>
      <c r="O32" s="5">
        <f t="shared" si="2"/>
        <v>-280.01104110018827</v>
      </c>
      <c r="P32" s="5">
        <f t="shared" si="27"/>
        <v>110.4195370087275</v>
      </c>
      <c r="Q32" s="5">
        <f t="shared" si="28"/>
        <v>-263.2083625287597</v>
      </c>
      <c r="R32" s="5">
        <f t="shared" si="29"/>
        <v>131.44374058015606</v>
      </c>
      <c r="S32" s="5">
        <f t="shared" si="30"/>
        <v>-246.40568395733112</v>
      </c>
      <c r="T32" s="5">
        <f t="shared" si="31"/>
        <v>152.46794415158462</v>
      </c>
      <c r="U32" s="5">
        <f t="shared" si="32"/>
        <v>-229.60300538590255</v>
      </c>
      <c r="V32" s="5">
        <f t="shared" si="33"/>
        <v>173.4921477230132</v>
      </c>
      <c r="W32" s="5">
        <f t="shared" si="34"/>
        <v>-212.80032681447398</v>
      </c>
      <c r="X32" s="5">
        <f t="shared" si="35"/>
        <v>194.51635129444176</v>
      </c>
    </row>
    <row r="33" spans="1:24" ht="12.75">
      <c r="A33" s="2">
        <v>8</v>
      </c>
      <c r="B33" s="5">
        <f t="shared" si="21"/>
        <v>149.6</v>
      </c>
      <c r="C33" s="17">
        <f t="shared" si="22"/>
        <v>149600</v>
      </c>
      <c r="D33" s="3">
        <f t="shared" si="23"/>
        <v>32988.09523809524</v>
      </c>
      <c r="E33" s="17">
        <f t="shared" si="24"/>
        <v>-107707.14285714284</v>
      </c>
      <c r="F33" s="7">
        <f t="shared" si="25"/>
        <v>0.25766871165644173</v>
      </c>
      <c r="G33" s="5">
        <f t="shared" si="36"/>
        <v>-328.5276073619632</v>
      </c>
      <c r="H33" s="5">
        <f t="shared" si="37"/>
        <v>70.34118709774549</v>
      </c>
      <c r="I33" s="5">
        <f t="shared" si="38"/>
        <v>50.27142857142857</v>
      </c>
      <c r="J33" s="5">
        <f t="shared" si="39"/>
        <v>80.27982857142855</v>
      </c>
      <c r="K33" s="5">
        <f t="shared" si="0"/>
        <v>-328.5276073619632</v>
      </c>
      <c r="L33" s="5">
        <f t="shared" si="1"/>
        <v>70.34118709774549</v>
      </c>
      <c r="M33" s="5">
        <f t="shared" si="2"/>
        <v>-315.95975021910607</v>
      </c>
      <c r="N33" s="5">
        <f t="shared" si="26"/>
        <v>90.41114424060262</v>
      </c>
      <c r="O33" s="5">
        <f t="shared" si="2"/>
        <v>-303.3918930762489</v>
      </c>
      <c r="P33" s="5">
        <f t="shared" si="27"/>
        <v>110.48110138345976</v>
      </c>
      <c r="Q33" s="5">
        <f t="shared" si="28"/>
        <v>-290.82403593339177</v>
      </c>
      <c r="R33" s="5">
        <f t="shared" si="29"/>
        <v>130.5510585263169</v>
      </c>
      <c r="S33" s="5">
        <f t="shared" si="30"/>
        <v>-278.2561787905346</v>
      </c>
      <c r="T33" s="5">
        <f t="shared" si="31"/>
        <v>150.62101566917403</v>
      </c>
      <c r="U33" s="5">
        <f t="shared" si="32"/>
        <v>-265.68832164767747</v>
      </c>
      <c r="V33" s="5">
        <f t="shared" si="33"/>
        <v>170.6909728120312</v>
      </c>
      <c r="W33" s="5">
        <f t="shared" si="34"/>
        <v>-253.12046450482035</v>
      </c>
      <c r="X33" s="5">
        <f t="shared" si="35"/>
        <v>190.7609299548883</v>
      </c>
    </row>
    <row r="34" spans="1:24" ht="12.75">
      <c r="A34" s="2">
        <v>9</v>
      </c>
      <c r="B34" s="5">
        <f t="shared" si="21"/>
        <v>136.425</v>
      </c>
      <c r="C34" s="17">
        <f t="shared" si="22"/>
        <v>136425</v>
      </c>
      <c r="D34" s="3">
        <f t="shared" si="23"/>
        <v>31419.642857142855</v>
      </c>
      <c r="E34" s="17">
        <f t="shared" si="24"/>
        <v>-108648.21428571428</v>
      </c>
      <c r="F34" s="7">
        <f t="shared" si="25"/>
        <v>0.2705314009661836</v>
      </c>
      <c r="G34" s="5">
        <f t="shared" si="36"/>
        <v>-344.9275362318841</v>
      </c>
      <c r="H34" s="5">
        <f t="shared" si="37"/>
        <v>72.37368433335668</v>
      </c>
      <c r="I34" s="5">
        <f t="shared" si="38"/>
        <v>33.332142857142856</v>
      </c>
      <c r="J34" s="5">
        <f t="shared" si="39"/>
        <v>76.46284285714285</v>
      </c>
      <c r="K34" s="5">
        <f t="shared" si="0"/>
        <v>-344.9275362318841</v>
      </c>
      <c r="L34" s="5">
        <f t="shared" si="1"/>
        <v>72.37368433335668</v>
      </c>
      <c r="M34" s="5">
        <f t="shared" si="2"/>
        <v>-336.5945005175984</v>
      </c>
      <c r="N34" s="5">
        <f t="shared" si="26"/>
        <v>91.48939504764239</v>
      </c>
      <c r="O34" s="5">
        <f t="shared" si="2"/>
        <v>-328.2614648033127</v>
      </c>
      <c r="P34" s="5">
        <f t="shared" si="27"/>
        <v>110.6051057619281</v>
      </c>
      <c r="Q34" s="5">
        <f t="shared" si="28"/>
        <v>-319.92842908902696</v>
      </c>
      <c r="R34" s="5">
        <f t="shared" si="29"/>
        <v>129.72081647621383</v>
      </c>
      <c r="S34" s="5">
        <f t="shared" si="30"/>
        <v>-311.59539337474126</v>
      </c>
      <c r="T34" s="5">
        <f t="shared" si="31"/>
        <v>148.8365271904995</v>
      </c>
      <c r="U34" s="5">
        <f t="shared" si="32"/>
        <v>-303.26235766045556</v>
      </c>
      <c r="V34" s="5">
        <f t="shared" si="33"/>
        <v>167.95223790478525</v>
      </c>
      <c r="W34" s="5">
        <f t="shared" si="34"/>
        <v>-294.9293219461698</v>
      </c>
      <c r="X34" s="5">
        <f t="shared" si="35"/>
        <v>187.06794861907093</v>
      </c>
    </row>
    <row r="35" spans="1:24" ht="12.75">
      <c r="A35" s="2">
        <v>10</v>
      </c>
      <c r="B35" s="5">
        <f t="shared" si="21"/>
        <v>123.25</v>
      </c>
      <c r="C35" s="17">
        <f t="shared" si="22"/>
        <v>123250</v>
      </c>
      <c r="D35" s="3">
        <f t="shared" si="23"/>
        <v>29851.19047619047</v>
      </c>
      <c r="E35" s="17">
        <f t="shared" si="24"/>
        <v>-109589.28571428571</v>
      </c>
      <c r="F35" s="7">
        <f t="shared" si="25"/>
        <v>0.28474576271186447</v>
      </c>
      <c r="G35" s="5">
        <f t="shared" si="36"/>
        <v>-363.0508474576272</v>
      </c>
      <c r="H35" s="5">
        <f t="shared" si="37"/>
        <v>74.45619074978455</v>
      </c>
      <c r="I35" s="5">
        <f t="shared" si="38"/>
        <v>16.39285714285714</v>
      </c>
      <c r="J35" s="5">
        <f t="shared" si="39"/>
        <v>72.64585714285714</v>
      </c>
      <c r="K35" s="5">
        <f t="shared" si="0"/>
        <v>-363.0508474576272</v>
      </c>
      <c r="L35" s="5">
        <f t="shared" si="1"/>
        <v>74.45619074978455</v>
      </c>
      <c r="M35" s="5">
        <f t="shared" si="2"/>
        <v>-358.9526331719129</v>
      </c>
      <c r="N35" s="5">
        <f t="shared" si="26"/>
        <v>92.61765503549884</v>
      </c>
      <c r="O35" s="5">
        <f t="shared" si="2"/>
        <v>-354.85441888619863</v>
      </c>
      <c r="P35" s="5">
        <f t="shared" si="27"/>
        <v>110.77911932121313</v>
      </c>
      <c r="Q35" s="5">
        <f t="shared" si="28"/>
        <v>-350.75620460048435</v>
      </c>
      <c r="R35" s="5">
        <f t="shared" si="29"/>
        <v>128.94058360692742</v>
      </c>
      <c r="S35" s="5">
        <f t="shared" si="30"/>
        <v>-346.65799031477</v>
      </c>
      <c r="T35" s="5">
        <f t="shared" si="31"/>
        <v>147.10204789264168</v>
      </c>
      <c r="U35" s="5">
        <f t="shared" si="32"/>
        <v>-342.55977602905574</v>
      </c>
      <c r="V35" s="5">
        <f t="shared" si="33"/>
        <v>165.263512178356</v>
      </c>
      <c r="W35" s="5">
        <f t="shared" si="34"/>
        <v>-338.46156174334146</v>
      </c>
      <c r="X35" s="5">
        <f t="shared" si="35"/>
        <v>183.42497646407026</v>
      </c>
    </row>
    <row r="36" spans="1:24" ht="12.75">
      <c r="A36" s="2">
        <v>11</v>
      </c>
      <c r="B36" s="5">
        <f t="shared" si="21"/>
        <v>110.07499999999999</v>
      </c>
      <c r="C36" s="17">
        <f t="shared" si="22"/>
        <v>110074.99999999999</v>
      </c>
      <c r="D36" s="3">
        <f t="shared" si="23"/>
        <v>28282.73809523809</v>
      </c>
      <c r="E36" s="17">
        <f t="shared" si="24"/>
        <v>-110530.35714285713</v>
      </c>
      <c r="F36" s="7">
        <f t="shared" si="25"/>
        <v>0.30053667262969597</v>
      </c>
      <c r="G36" s="5">
        <f t="shared" si="36"/>
        <v>-383.1842576028624</v>
      </c>
      <c r="H36" s="5">
        <f t="shared" si="37"/>
        <v>76.56830335284386</v>
      </c>
      <c r="I36" s="5">
        <f t="shared" si="38"/>
        <v>-0.5464285714285779</v>
      </c>
      <c r="J36" s="5">
        <f t="shared" si="39"/>
        <v>68.82887142857142</v>
      </c>
      <c r="K36" s="5">
        <f t="shared" si="0"/>
        <v>-383.1842576028624</v>
      </c>
      <c r="L36" s="5">
        <f t="shared" si="1"/>
        <v>76.56830335284386</v>
      </c>
      <c r="M36" s="5">
        <f t="shared" si="2"/>
        <v>-383.3208647457195</v>
      </c>
      <c r="N36" s="5">
        <f t="shared" si="26"/>
        <v>93.7755212099867</v>
      </c>
      <c r="O36" s="5">
        <f t="shared" si="2"/>
        <v>-383.45747188857666</v>
      </c>
      <c r="P36" s="5">
        <f t="shared" si="27"/>
        <v>110.98273906712956</v>
      </c>
      <c r="Q36" s="5">
        <f t="shared" si="28"/>
        <v>-383.5940790314338</v>
      </c>
      <c r="R36" s="5">
        <f t="shared" si="29"/>
        <v>128.18995692427242</v>
      </c>
      <c r="S36" s="5">
        <f t="shared" si="30"/>
        <v>-383.73068617429095</v>
      </c>
      <c r="T36" s="5">
        <f t="shared" si="31"/>
        <v>145.3971747814153</v>
      </c>
      <c r="U36" s="5">
        <f t="shared" si="32"/>
        <v>-383.8672933171481</v>
      </c>
      <c r="V36" s="5">
        <f t="shared" si="33"/>
        <v>162.60439263855812</v>
      </c>
      <c r="W36" s="5">
        <f t="shared" si="34"/>
        <v>-384.00390046000524</v>
      </c>
      <c r="X36" s="5">
        <f t="shared" si="35"/>
        <v>179.811610495701</v>
      </c>
    </row>
    <row r="37" spans="1:24" ht="12.75">
      <c r="A37" s="2">
        <v>12</v>
      </c>
      <c r="B37" s="5">
        <f t="shared" si="21"/>
        <v>96.9</v>
      </c>
      <c r="C37" s="17">
        <f t="shared" si="22"/>
        <v>96900</v>
      </c>
      <c r="D37" s="3">
        <f t="shared" si="23"/>
        <v>26714.28571428571</v>
      </c>
      <c r="E37" s="17">
        <f t="shared" si="24"/>
        <v>-111471.42857142857</v>
      </c>
      <c r="F37" s="7">
        <f t="shared" si="25"/>
        <v>0.31818181818181823</v>
      </c>
      <c r="G37" s="5">
        <f t="shared" si="36"/>
        <v>-405.68181818181824</v>
      </c>
      <c r="H37" s="5">
        <f t="shared" si="37"/>
        <v>78.67768595041322</v>
      </c>
      <c r="I37" s="5">
        <f t="shared" si="38"/>
        <v>-17.48571428571428</v>
      </c>
      <c r="J37" s="5">
        <f t="shared" si="39"/>
        <v>65.01188571428571</v>
      </c>
      <c r="K37" s="5">
        <f t="shared" si="0"/>
        <v>-405.68181818181824</v>
      </c>
      <c r="L37" s="5">
        <f t="shared" si="1"/>
        <v>78.67768595041322</v>
      </c>
      <c r="M37" s="5">
        <f t="shared" si="2"/>
        <v>-410.0532467532468</v>
      </c>
      <c r="N37" s="5">
        <f t="shared" si="26"/>
        <v>94.93065737898465</v>
      </c>
      <c r="O37" s="5">
        <f t="shared" si="2"/>
        <v>-414.4246753246754</v>
      </c>
      <c r="P37" s="5">
        <f t="shared" si="27"/>
        <v>111.18362880755608</v>
      </c>
      <c r="Q37" s="5">
        <f t="shared" si="28"/>
        <v>-418.79610389610394</v>
      </c>
      <c r="R37" s="5">
        <f t="shared" si="29"/>
        <v>127.4366002361275</v>
      </c>
      <c r="S37" s="5">
        <f t="shared" si="30"/>
        <v>-423.1675324675325</v>
      </c>
      <c r="T37" s="5">
        <f t="shared" si="31"/>
        <v>143.68957166469892</v>
      </c>
      <c r="U37" s="5">
        <f t="shared" si="32"/>
        <v>-427.5389610389611</v>
      </c>
      <c r="V37" s="5">
        <f t="shared" si="33"/>
        <v>159.94254309327036</v>
      </c>
      <c r="W37" s="5">
        <f t="shared" si="34"/>
        <v>-431.91038961038964</v>
      </c>
      <c r="X37" s="5">
        <f t="shared" si="35"/>
        <v>176.19551452184177</v>
      </c>
    </row>
    <row r="38" spans="1:24" ht="12.75">
      <c r="A38" s="2">
        <v>13</v>
      </c>
      <c r="B38" s="5">
        <f t="shared" si="21"/>
        <v>83.725</v>
      </c>
      <c r="C38" s="17">
        <f t="shared" si="22"/>
        <v>83725</v>
      </c>
      <c r="D38" s="3">
        <f t="shared" si="23"/>
        <v>25145.833333333332</v>
      </c>
      <c r="E38" s="17">
        <f t="shared" si="24"/>
        <v>-112412.49999999999</v>
      </c>
      <c r="F38" s="7">
        <f t="shared" si="25"/>
        <v>0.3380281690140845</v>
      </c>
      <c r="G38" s="5">
        <f t="shared" si="36"/>
        <v>-430.9859154929577</v>
      </c>
      <c r="H38" s="5">
        <f t="shared" si="37"/>
        <v>80.73398135290616</v>
      </c>
      <c r="I38" s="5">
        <f t="shared" si="38"/>
        <v>-34.425</v>
      </c>
      <c r="J38" s="5">
        <f t="shared" si="39"/>
        <v>61.19489999999999</v>
      </c>
      <c r="K38" s="5">
        <f t="shared" si="0"/>
        <v>-430.9859154929577</v>
      </c>
      <c r="L38" s="5">
        <f t="shared" si="1"/>
        <v>80.73398135290616</v>
      </c>
      <c r="M38" s="5">
        <f t="shared" si="2"/>
        <v>-439.5921654929577</v>
      </c>
      <c r="N38" s="5">
        <f t="shared" si="26"/>
        <v>96.03270635290616</v>
      </c>
      <c r="O38" s="5">
        <f t="shared" si="2"/>
        <v>-448.1984154929577</v>
      </c>
      <c r="P38" s="5">
        <f t="shared" si="27"/>
        <v>111.33143135290615</v>
      </c>
      <c r="Q38" s="5">
        <f t="shared" si="28"/>
        <v>-456.8046654929577</v>
      </c>
      <c r="R38" s="5">
        <f t="shared" si="29"/>
        <v>126.63015635290614</v>
      </c>
      <c r="S38" s="5">
        <f t="shared" si="30"/>
        <v>-465.4109154929577</v>
      </c>
      <c r="T38" s="5">
        <f t="shared" si="31"/>
        <v>141.92888135290616</v>
      </c>
      <c r="U38" s="5">
        <f t="shared" si="32"/>
        <v>-474.0171654929577</v>
      </c>
      <c r="V38" s="5">
        <f t="shared" si="33"/>
        <v>157.22760635290615</v>
      </c>
      <c r="W38" s="5">
        <f t="shared" si="34"/>
        <v>-482.6234154929577</v>
      </c>
      <c r="X38" s="5">
        <f t="shared" si="35"/>
        <v>172.52633135290614</v>
      </c>
    </row>
    <row r="39" spans="1:24" ht="12.75">
      <c r="A39" s="2">
        <v>14</v>
      </c>
      <c r="B39" s="5">
        <f t="shared" si="21"/>
        <v>70.55000000000001</v>
      </c>
      <c r="C39" s="17">
        <f t="shared" si="22"/>
        <v>70550.00000000001</v>
      </c>
      <c r="D39" s="3">
        <f t="shared" si="23"/>
        <v>23577.38095238095</v>
      </c>
      <c r="E39" s="17">
        <f t="shared" si="24"/>
        <v>-113353.57142857142</v>
      </c>
      <c r="F39" s="7">
        <f t="shared" si="25"/>
        <v>0.36051502145922754</v>
      </c>
      <c r="G39" s="5">
        <f t="shared" si="36"/>
        <v>-459.6566523605151</v>
      </c>
      <c r="H39" s="5">
        <f t="shared" si="37"/>
        <v>82.65928641161193</v>
      </c>
      <c r="I39" s="5">
        <f t="shared" si="38"/>
        <v>-51.364285714285685</v>
      </c>
      <c r="J39" s="5">
        <f t="shared" si="39"/>
        <v>57.37791428571428</v>
      </c>
      <c r="K39" s="5">
        <f t="shared" si="0"/>
        <v>-459.6566523605151</v>
      </c>
      <c r="L39" s="5">
        <f t="shared" si="1"/>
        <v>82.65928641161193</v>
      </c>
      <c r="M39" s="5">
        <f t="shared" si="2"/>
        <v>-472.49772378908654</v>
      </c>
      <c r="N39" s="5">
        <f t="shared" si="26"/>
        <v>97.0037649830405</v>
      </c>
      <c r="O39" s="5">
        <f t="shared" si="2"/>
        <v>-485.33879521765795</v>
      </c>
      <c r="P39" s="5">
        <f t="shared" si="27"/>
        <v>111.34824355446908</v>
      </c>
      <c r="Q39" s="5">
        <f t="shared" si="28"/>
        <v>-498.1798666462294</v>
      </c>
      <c r="R39" s="5">
        <f t="shared" si="29"/>
        <v>125.69272212589763</v>
      </c>
      <c r="S39" s="5">
        <f t="shared" si="30"/>
        <v>-511.0209380748008</v>
      </c>
      <c r="T39" s="5">
        <f t="shared" si="31"/>
        <v>140.03720069732623</v>
      </c>
      <c r="U39" s="5">
        <f t="shared" si="32"/>
        <v>-523.8620095033723</v>
      </c>
      <c r="V39" s="5">
        <f t="shared" si="33"/>
        <v>154.3816792687548</v>
      </c>
      <c r="W39" s="5">
        <f t="shared" si="34"/>
        <v>-536.7030809319436</v>
      </c>
      <c r="X39" s="5">
        <f t="shared" si="35"/>
        <v>168.72615784018336</v>
      </c>
    </row>
    <row r="40" spans="1:24" ht="12.75">
      <c r="A40" s="2">
        <v>15</v>
      </c>
      <c r="B40" s="5">
        <f t="shared" si="21"/>
        <v>57.375</v>
      </c>
      <c r="C40" s="17">
        <f t="shared" si="22"/>
        <v>57375</v>
      </c>
      <c r="D40" s="3">
        <f t="shared" si="23"/>
        <v>22008.92857142857</v>
      </c>
      <c r="E40" s="17">
        <f t="shared" si="24"/>
        <v>-114294.64285714284</v>
      </c>
      <c r="F40" s="7">
        <f t="shared" si="25"/>
        <v>0.3862068965517242</v>
      </c>
      <c r="G40" s="5">
        <f t="shared" si="36"/>
        <v>-492.4137931034483</v>
      </c>
      <c r="H40" s="5">
        <f t="shared" si="37"/>
        <v>84.33293697978596</v>
      </c>
      <c r="I40" s="5">
        <f t="shared" si="38"/>
        <v>-68.30357142857142</v>
      </c>
      <c r="J40" s="5">
        <f t="shared" si="39"/>
        <v>53.56092857142857</v>
      </c>
      <c r="K40" s="5">
        <f t="shared" si="0"/>
        <v>-492.4137931034483</v>
      </c>
      <c r="L40" s="5">
        <f t="shared" si="1"/>
        <v>84.33293697978596</v>
      </c>
      <c r="M40" s="5">
        <f t="shared" si="2"/>
        <v>-509.48968596059115</v>
      </c>
      <c r="N40" s="5">
        <f t="shared" si="26"/>
        <v>97.7231691226431</v>
      </c>
      <c r="O40" s="5">
        <f t="shared" si="2"/>
        <v>-526.565578817734</v>
      </c>
      <c r="P40" s="5">
        <f t="shared" si="27"/>
        <v>111.11340126550024</v>
      </c>
      <c r="Q40" s="5">
        <f t="shared" si="28"/>
        <v>-543.6414716748769</v>
      </c>
      <c r="R40" s="5">
        <f t="shared" si="29"/>
        <v>124.50363340835739</v>
      </c>
      <c r="S40" s="5">
        <f t="shared" si="30"/>
        <v>-560.7173645320197</v>
      </c>
      <c r="T40" s="5">
        <f t="shared" si="31"/>
        <v>137.89386555121453</v>
      </c>
      <c r="U40" s="5">
        <f t="shared" si="32"/>
        <v>-577.7932573891626</v>
      </c>
      <c r="V40" s="5">
        <f t="shared" si="33"/>
        <v>151.28409769407165</v>
      </c>
      <c r="W40" s="5">
        <f t="shared" si="34"/>
        <v>-594.8691502463055</v>
      </c>
      <c r="X40" s="5">
        <f t="shared" si="35"/>
        <v>164.6743298369288</v>
      </c>
    </row>
    <row r="41" spans="1:24" ht="12.75">
      <c r="A41" s="2">
        <v>16</v>
      </c>
      <c r="B41" s="5">
        <f t="shared" si="21"/>
        <v>44.19999999999999</v>
      </c>
      <c r="C41" s="17">
        <f t="shared" si="22"/>
        <v>44199.999999999985</v>
      </c>
      <c r="D41" s="3">
        <f t="shared" si="23"/>
        <v>20440.476190476187</v>
      </c>
      <c r="E41" s="17">
        <f t="shared" si="24"/>
        <v>-115235.71428571428</v>
      </c>
      <c r="F41" s="7">
        <f t="shared" si="25"/>
        <v>0.4158415841584159</v>
      </c>
      <c r="G41" s="5">
        <f t="shared" si="36"/>
        <v>-530.1980198019802</v>
      </c>
      <c r="H41" s="5">
        <f t="shared" si="37"/>
        <v>85.56661111655718</v>
      </c>
      <c r="I41" s="5">
        <f t="shared" si="38"/>
        <v>-85.24285714285715</v>
      </c>
      <c r="J41" s="5">
        <f t="shared" si="39"/>
        <v>49.743942857142855</v>
      </c>
      <c r="K41" s="5">
        <f t="shared" si="0"/>
        <v>-530.1980198019802</v>
      </c>
      <c r="L41" s="5">
        <f t="shared" si="1"/>
        <v>85.56661111655718</v>
      </c>
      <c r="M41" s="5">
        <f t="shared" si="2"/>
        <v>-551.5087340876945</v>
      </c>
      <c r="N41" s="5">
        <f t="shared" si="26"/>
        <v>98.00259683084289</v>
      </c>
      <c r="O41" s="5">
        <f t="shared" si="2"/>
        <v>-572.8194483734088</v>
      </c>
      <c r="P41" s="5">
        <f t="shared" si="27"/>
        <v>110.43858254512861</v>
      </c>
      <c r="Q41" s="5">
        <f t="shared" si="28"/>
        <v>-594.130162659123</v>
      </c>
      <c r="R41" s="5">
        <f t="shared" si="29"/>
        <v>122.87456825941433</v>
      </c>
      <c r="S41" s="5">
        <f t="shared" si="30"/>
        <v>-615.4408769448373</v>
      </c>
      <c r="T41" s="5">
        <f t="shared" si="31"/>
        <v>135.31055397370005</v>
      </c>
      <c r="U41" s="5">
        <f t="shared" si="32"/>
        <v>-636.7515912305516</v>
      </c>
      <c r="V41" s="5">
        <f t="shared" si="33"/>
        <v>147.74653968798575</v>
      </c>
      <c r="W41" s="5">
        <f t="shared" si="34"/>
        <v>-658.062305516266</v>
      </c>
      <c r="X41" s="5">
        <f t="shared" si="35"/>
        <v>160.18252540227147</v>
      </c>
    </row>
    <row r="42" spans="1:24" ht="12.75">
      <c r="A42" s="2">
        <v>17</v>
      </c>
      <c r="B42" s="5">
        <f t="shared" si="21"/>
        <v>31.025000000000006</v>
      </c>
      <c r="C42" s="17">
        <f t="shared" si="22"/>
        <v>31025.000000000007</v>
      </c>
      <c r="D42" s="3">
        <f t="shared" si="23"/>
        <v>18872.02380952381</v>
      </c>
      <c r="E42" s="17">
        <f t="shared" si="24"/>
        <v>-116176.7857142857</v>
      </c>
      <c r="F42" s="7">
        <f t="shared" si="25"/>
        <v>0.450402144772118</v>
      </c>
      <c r="G42" s="5">
        <f t="shared" si="36"/>
        <v>-574.2627345844504</v>
      </c>
      <c r="H42" s="5">
        <f t="shared" si="37"/>
        <v>86.06243126882245</v>
      </c>
      <c r="I42" s="5">
        <f t="shared" si="38"/>
        <v>-102.18214285714281</v>
      </c>
      <c r="J42" s="5">
        <f t="shared" si="39"/>
        <v>45.92695714285713</v>
      </c>
      <c r="K42" s="5">
        <f t="shared" si="0"/>
        <v>-574.2627345844504</v>
      </c>
      <c r="L42" s="5">
        <f t="shared" si="1"/>
        <v>86.06243126882245</v>
      </c>
      <c r="M42" s="5">
        <f t="shared" si="2"/>
        <v>-599.8082702987361</v>
      </c>
      <c r="N42" s="5">
        <f t="shared" si="26"/>
        <v>97.54417055453673</v>
      </c>
      <c r="O42" s="5">
        <f t="shared" si="2"/>
        <v>-625.3538060130218</v>
      </c>
      <c r="P42" s="5">
        <f t="shared" si="27"/>
        <v>109.02590984025102</v>
      </c>
      <c r="Q42" s="5">
        <f t="shared" si="28"/>
        <v>-650.8993417273075</v>
      </c>
      <c r="R42" s="5">
        <f t="shared" si="29"/>
        <v>120.50764912596529</v>
      </c>
      <c r="S42" s="5">
        <f t="shared" si="30"/>
        <v>-676.4448774415932</v>
      </c>
      <c r="T42" s="5">
        <f t="shared" si="31"/>
        <v>131.98938841167958</v>
      </c>
      <c r="U42" s="5">
        <f t="shared" si="32"/>
        <v>-701.990413155879</v>
      </c>
      <c r="V42" s="5">
        <f t="shared" si="33"/>
        <v>143.47112769739385</v>
      </c>
      <c r="W42" s="5">
        <f t="shared" si="34"/>
        <v>-727.5359488701646</v>
      </c>
      <c r="X42" s="5">
        <f t="shared" si="35"/>
        <v>154.95286698310815</v>
      </c>
    </row>
    <row r="43" spans="1:24" ht="12.75">
      <c r="A43" s="2">
        <v>18</v>
      </c>
      <c r="B43" s="5">
        <f t="shared" si="21"/>
        <v>17.849999999999994</v>
      </c>
      <c r="C43" s="17">
        <f t="shared" si="22"/>
        <v>17849.999999999993</v>
      </c>
      <c r="D43" s="3">
        <f t="shared" si="23"/>
        <v>17303.571428571428</v>
      </c>
      <c r="E43" s="17">
        <f t="shared" si="24"/>
        <v>-117117.85714285713</v>
      </c>
      <c r="F43" s="7">
        <f t="shared" si="25"/>
        <v>0.4912280701754386</v>
      </c>
      <c r="G43" s="5">
        <f t="shared" si="36"/>
        <v>-626.3157894736843</v>
      </c>
      <c r="H43" s="5">
        <f t="shared" si="37"/>
        <v>85.34010464758386</v>
      </c>
      <c r="I43" s="5">
        <f t="shared" si="38"/>
        <v>-119.12142857142857</v>
      </c>
      <c r="J43" s="5">
        <f t="shared" si="39"/>
        <v>42.10997142857142</v>
      </c>
      <c r="K43" s="5">
        <f t="shared" si="0"/>
        <v>-626.3157894736843</v>
      </c>
      <c r="L43" s="5">
        <f t="shared" si="1"/>
        <v>85.34010464758386</v>
      </c>
      <c r="M43" s="5">
        <f t="shared" si="2"/>
        <v>-656.0961466165414</v>
      </c>
      <c r="N43" s="5">
        <f t="shared" si="26"/>
        <v>95.86759750472672</v>
      </c>
      <c r="O43" s="5">
        <f t="shared" si="2"/>
        <v>-685.8765037593986</v>
      </c>
      <c r="P43" s="5">
        <f t="shared" si="27"/>
        <v>106.39509036186956</v>
      </c>
      <c r="Q43" s="5">
        <f t="shared" si="28"/>
        <v>-715.6568609022557</v>
      </c>
      <c r="R43" s="5">
        <f t="shared" si="29"/>
        <v>116.92258321901242</v>
      </c>
      <c r="S43" s="5">
        <f t="shared" si="30"/>
        <v>-745.4372180451128</v>
      </c>
      <c r="T43" s="5">
        <f t="shared" si="31"/>
        <v>127.45007607615528</v>
      </c>
      <c r="U43" s="5">
        <f t="shared" si="32"/>
        <v>-775.2175751879699</v>
      </c>
      <c r="V43" s="5">
        <f t="shared" si="33"/>
        <v>137.97756893329813</v>
      </c>
      <c r="W43" s="5">
        <f t="shared" si="34"/>
        <v>-804.9979323308271</v>
      </c>
      <c r="X43" s="5">
        <f t="shared" si="35"/>
        <v>148.505061790441</v>
      </c>
    </row>
    <row r="44" spans="1:24" ht="12.75">
      <c r="A44" s="2">
        <v>19</v>
      </c>
      <c r="B44" s="5">
        <f t="shared" si="21"/>
        <v>4.675000000000011</v>
      </c>
      <c r="C44" s="17">
        <f t="shared" si="22"/>
        <v>4675.000000000011</v>
      </c>
      <c r="D44" s="3">
        <f t="shared" si="23"/>
        <v>15735.119047619048</v>
      </c>
      <c r="E44" s="17">
        <f t="shared" si="24"/>
        <v>-118058.92857142857</v>
      </c>
      <c r="F44" s="7">
        <f t="shared" si="25"/>
        <v>0.5401929260450161</v>
      </c>
      <c r="G44" s="5">
        <f t="shared" si="36"/>
        <v>-688.7459807073956</v>
      </c>
      <c r="H44" s="5">
        <f t="shared" si="37"/>
        <v>82.60522533886126</v>
      </c>
      <c r="I44" s="5">
        <f t="shared" si="38"/>
        <v>-136.06071428571425</v>
      </c>
      <c r="J44" s="5">
        <f t="shared" si="39"/>
        <v>38.29298571428571</v>
      </c>
      <c r="K44" s="5">
        <f t="shared" si="0"/>
        <v>-688.7459807073956</v>
      </c>
      <c r="L44" s="5">
        <f t="shared" si="1"/>
        <v>82.60522533886126</v>
      </c>
      <c r="M44" s="5">
        <f t="shared" si="2"/>
        <v>-722.7611592788242</v>
      </c>
      <c r="N44" s="5">
        <f t="shared" si="26"/>
        <v>92.17847176743268</v>
      </c>
      <c r="O44" s="5">
        <f t="shared" si="2"/>
        <v>-756.7763378502527</v>
      </c>
      <c r="P44" s="5">
        <f t="shared" si="27"/>
        <v>101.75171819600412</v>
      </c>
      <c r="Q44" s="5">
        <f t="shared" si="28"/>
        <v>-790.7915164216813</v>
      </c>
      <c r="R44" s="5">
        <f t="shared" si="29"/>
        <v>111.32496462457554</v>
      </c>
      <c r="S44" s="5">
        <f t="shared" si="30"/>
        <v>-824.8066949931099</v>
      </c>
      <c r="T44" s="5">
        <f t="shared" si="31"/>
        <v>120.89821105314698</v>
      </c>
      <c r="U44" s="5">
        <f t="shared" si="32"/>
        <v>-858.8218735645384</v>
      </c>
      <c r="V44" s="5">
        <f t="shared" si="33"/>
        <v>130.4714574817184</v>
      </c>
      <c r="W44" s="5">
        <f t="shared" si="34"/>
        <v>-892.8370521359669</v>
      </c>
      <c r="X44" s="5">
        <f t="shared" si="35"/>
        <v>140.04470391028983</v>
      </c>
    </row>
    <row r="45" spans="1:24" ht="12.75">
      <c r="A45" s="2">
        <v>20</v>
      </c>
      <c r="B45" s="5">
        <f>-$B$8*$F$4*$C$6/$C$5</f>
        <v>-8.500000000000002</v>
      </c>
      <c r="C45" s="17">
        <f t="shared" si="22"/>
        <v>-8500.000000000002</v>
      </c>
      <c r="D45" s="3">
        <f t="shared" si="23"/>
        <v>14166.666666666664</v>
      </c>
      <c r="E45" s="17">
        <f t="shared" si="24"/>
        <v>-118999.99999999999</v>
      </c>
      <c r="F45" s="7">
        <f t="shared" si="25"/>
        <v>0.6000000000000001</v>
      </c>
      <c r="G45" s="5">
        <f t="shared" si="36"/>
        <v>-765.0000000000001</v>
      </c>
      <c r="H45" s="5">
        <f t="shared" si="37"/>
        <v>76.49999999999997</v>
      </c>
      <c r="I45" s="5">
        <f t="shared" si="38"/>
        <v>-152.99999999999997</v>
      </c>
      <c r="J45" s="5">
        <f t="shared" si="39"/>
        <v>34.476</v>
      </c>
      <c r="K45" s="5">
        <f t="shared" si="0"/>
        <v>-765.0000000000001</v>
      </c>
      <c r="L45" s="5">
        <f t="shared" si="1"/>
        <v>76.49999999999997</v>
      </c>
      <c r="M45" s="5">
        <f t="shared" si="2"/>
        <v>-803.2500000000001</v>
      </c>
      <c r="N45" s="5">
        <f t="shared" si="26"/>
        <v>85.11899999999997</v>
      </c>
      <c r="O45" s="5">
        <f t="shared" si="2"/>
        <v>-841.5000000000001</v>
      </c>
      <c r="P45" s="5">
        <f t="shared" si="27"/>
        <v>93.73799999999997</v>
      </c>
      <c r="Q45" s="5">
        <f t="shared" si="28"/>
        <v>-879.7500000000001</v>
      </c>
      <c r="R45" s="5">
        <f t="shared" si="29"/>
        <v>102.35699999999997</v>
      </c>
      <c r="S45" s="5">
        <f t="shared" si="30"/>
        <v>-918.0000000000001</v>
      </c>
      <c r="T45" s="5">
        <f t="shared" si="31"/>
        <v>110.97599999999997</v>
      </c>
      <c r="U45" s="5">
        <f t="shared" si="32"/>
        <v>-956.2500000000001</v>
      </c>
      <c r="V45" s="5">
        <f t="shared" si="33"/>
        <v>119.59499999999997</v>
      </c>
      <c r="W45" s="5">
        <f t="shared" si="34"/>
        <v>-994.5000000000001</v>
      </c>
      <c r="X45" s="5">
        <f t="shared" si="35"/>
        <v>128.21399999999997</v>
      </c>
    </row>
    <row r="46" spans="11:24" ht="12.75"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2" t="s">
        <v>120</v>
      </c>
      <c r="B47" s="15" t="s">
        <v>121</v>
      </c>
      <c r="C47" s="2" t="s">
        <v>111</v>
      </c>
      <c r="D47" s="2" t="s">
        <v>115</v>
      </c>
      <c r="E47" s="15" t="s">
        <v>112</v>
      </c>
      <c r="F47" s="15" t="s">
        <v>122</v>
      </c>
      <c r="G47" s="2" t="s">
        <v>131</v>
      </c>
      <c r="H47" s="2" t="s">
        <v>132</v>
      </c>
      <c r="I47" s="2" t="s">
        <v>35</v>
      </c>
      <c r="J47" s="2" t="s">
        <v>23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2">
        <v>0</v>
      </c>
      <c r="B48" s="5">
        <f>$B$50*A48/$A$50</f>
        <v>0</v>
      </c>
      <c r="C48" s="17">
        <f>B48*1000</f>
        <v>0</v>
      </c>
      <c r="D48" s="3">
        <f>(C48+$G$4)/$C$5</f>
        <v>14166.666666666668</v>
      </c>
      <c r="E48" s="17">
        <f>$B$8*(-$G$4*$C$7/$C$5+C48*$C$6/$C$5)</f>
        <v>-119000.00000000001</v>
      </c>
      <c r="F48" s="17">
        <f>$B$8*(-$G$4*$C$6/$C$5+C48*$C$7/$C$5)</f>
        <v>-8500.000000000002</v>
      </c>
      <c r="G48" s="5">
        <f>$C$4*$C$5/2*(-$G$4+C48)</f>
        <v>-765</v>
      </c>
      <c r="H48" s="5">
        <f>$C$4*$C$5^2/12*($G$4+C48)</f>
        <v>76.5</v>
      </c>
      <c r="I48" s="5">
        <f>$C$9*F48+$C$10*E48</f>
        <v>-153</v>
      </c>
      <c r="J48" s="5">
        <f>($C$9*F48-$C$10*E48)*($C$5/2-$C$6)</f>
        <v>34.476000000000006</v>
      </c>
      <c r="K48" s="5">
        <f t="shared" si="0"/>
        <v>-765</v>
      </c>
      <c r="L48" s="5">
        <f t="shared" si="1"/>
        <v>76.5</v>
      </c>
      <c r="M48" s="5">
        <f t="shared" si="2"/>
        <v>-803.25</v>
      </c>
      <c r="N48" s="5">
        <f>$H48+$J48*N$11/$B$9</f>
        <v>85.119</v>
      </c>
      <c r="O48" s="5">
        <f t="shared" si="2"/>
        <v>-841.5</v>
      </c>
      <c r="P48" s="5">
        <f>$H48+$J48*P$11/$B$9</f>
        <v>93.738</v>
      </c>
      <c r="Q48" s="5">
        <f>$G48+$I48*R$11/$B$9</f>
        <v>-879.75</v>
      </c>
      <c r="R48" s="5">
        <f>$H48+$J48*R$11/$B$9</f>
        <v>102.357</v>
      </c>
      <c r="S48" s="5">
        <f>$G48+$I48*T$11/$B$9</f>
        <v>-918</v>
      </c>
      <c r="T48" s="5">
        <f>$H48+$J48*T$11/$B$9</f>
        <v>110.976</v>
      </c>
      <c r="U48" s="5">
        <f>$G48+$I48*V$11/$B$9</f>
        <v>-956.25</v>
      </c>
      <c r="V48" s="5">
        <f>$H48+$J48*V$11/$B$9</f>
        <v>119.595</v>
      </c>
      <c r="W48" s="5">
        <f>$G48+$I48*X$11/$B$9</f>
        <v>-994.5</v>
      </c>
      <c r="X48" s="5">
        <f>$H48+$J48*X$11/$B$9</f>
        <v>128.214</v>
      </c>
    </row>
    <row r="49" spans="1:24" ht="12.75">
      <c r="A49" s="2">
        <v>5</v>
      </c>
      <c r="B49" s="5">
        <f>$B$50*A49/$A$50</f>
        <v>-1.7</v>
      </c>
      <c r="C49" s="17">
        <f>B49*1000</f>
        <v>-1700</v>
      </c>
      <c r="D49" s="3">
        <f>(C49+$G$4)/$C$5</f>
        <v>11333.333333333334</v>
      </c>
      <c r="E49" s="17">
        <f>$B$8*(-$G$4*$C$7/$C$5+C49*$C$6/$C$5)</f>
        <v>-120700</v>
      </c>
      <c r="F49" s="17">
        <f>$B$8*(-$G$4*$C$6/$C$5+C49*$C$7/$C$5)</f>
        <v>-32300.000000000007</v>
      </c>
      <c r="G49" s="5">
        <f>$C$4*$C$5/2*(-$G$4+C49)</f>
        <v>-918</v>
      </c>
      <c r="H49" s="5">
        <f>$C$4*$C$5^2/12*($G$4+C49)</f>
        <v>61.199999999999996</v>
      </c>
      <c r="I49" s="5">
        <f>$C$9*F49+$C$10*E49</f>
        <v>-183.59999999999997</v>
      </c>
      <c r="J49" s="5">
        <f>($C$9*F49-$C$10*E49)*($C$5/2-$C$6)</f>
        <v>27.580799999999993</v>
      </c>
      <c r="K49" s="5">
        <f t="shared" si="0"/>
        <v>-918</v>
      </c>
      <c r="L49" s="5">
        <f t="shared" si="1"/>
        <v>61.199999999999996</v>
      </c>
      <c r="M49" s="5">
        <f t="shared" si="2"/>
        <v>-963.9</v>
      </c>
      <c r="N49" s="5">
        <f>$H49+$J49*N$11/$B$9</f>
        <v>68.09519999999999</v>
      </c>
      <c r="O49" s="5">
        <f t="shared" si="2"/>
        <v>-1009.8</v>
      </c>
      <c r="P49" s="5">
        <f>$H49+$J49*P$11/$B$9</f>
        <v>74.9904</v>
      </c>
      <c r="Q49" s="5">
        <f>$G49+$I49*R$11/$B$9</f>
        <v>-1055.7</v>
      </c>
      <c r="R49" s="5">
        <f>$H49+$J49*R$11/$B$9</f>
        <v>81.88559999999998</v>
      </c>
      <c r="S49" s="5">
        <f>$G49+$I49*T$11/$B$9</f>
        <v>-1101.6</v>
      </c>
      <c r="T49" s="5">
        <f>$H49+$J49*T$11/$B$9</f>
        <v>88.78079999999999</v>
      </c>
      <c r="U49" s="5">
        <f>$G49+$I49*V$11/$B$9</f>
        <v>-1147.5</v>
      </c>
      <c r="V49" s="5">
        <f>$H49+$J49*V$11/$B$9</f>
        <v>95.67599999999999</v>
      </c>
      <c r="W49" s="5">
        <f>$G49+$I49*X$11/$B$9</f>
        <v>-1193.3999999999999</v>
      </c>
      <c r="X49" s="5">
        <f>$H49+$J49*X$11/$B$9</f>
        <v>102.57119999999998</v>
      </c>
    </row>
    <row r="50" spans="1:24" ht="12.75">
      <c r="A50" s="2">
        <v>10</v>
      </c>
      <c r="B50" s="5">
        <f>-(0.2*C5+B53)/(0.5*C5+B53)*F4</f>
        <v>-3.4000000000000004</v>
      </c>
      <c r="C50" s="17">
        <f>B50*1000</f>
        <v>-3400.0000000000005</v>
      </c>
      <c r="D50" s="3">
        <f>(C50+$G$4)/$C$5</f>
        <v>8500</v>
      </c>
      <c r="E50" s="17">
        <f>$B$8*(-$G$4*$C$7/$C$5+C50*$C$6/$C$5)</f>
        <v>-122400.00000000001</v>
      </c>
      <c r="F50" s="17">
        <f>$B$8*(-$G$4*$C$6/$C$5+C50*$C$7/$C$5)</f>
        <v>-56100.000000000015</v>
      </c>
      <c r="G50" s="5">
        <f>$C$4*$C$5/2*(-$G$4+C50)</f>
        <v>-1071</v>
      </c>
      <c r="H50" s="5">
        <f>$C$4*$C$5^2/12*($G$4+C50)</f>
        <v>45.9</v>
      </c>
      <c r="I50" s="5">
        <f>$C$9*F50+$C$10*E50</f>
        <v>-214.2</v>
      </c>
      <c r="J50" s="5">
        <f>($C$9*F50-$C$10*E50)*($C$5/2-$C$6)</f>
        <v>20.685599999999997</v>
      </c>
      <c r="K50" s="5">
        <f t="shared" si="0"/>
        <v>-1071</v>
      </c>
      <c r="L50" s="5">
        <f t="shared" si="1"/>
        <v>45.9</v>
      </c>
      <c r="M50" s="5">
        <f t="shared" si="2"/>
        <v>-1124.55</v>
      </c>
      <c r="N50" s="5">
        <f>$H50+$J50*N$11/$B$9</f>
        <v>51.0714</v>
      </c>
      <c r="O50" s="5">
        <f t="shared" si="2"/>
        <v>-1178.1</v>
      </c>
      <c r="P50" s="5">
        <f>$H50+$J50*P$11/$B$9</f>
        <v>56.242799999999995</v>
      </c>
      <c r="Q50" s="5">
        <f>$G50+$I50*R$11/$B$9</f>
        <v>-1231.65</v>
      </c>
      <c r="R50" s="5">
        <f>$H50+$J50*R$11/$B$9</f>
        <v>61.414199999999994</v>
      </c>
      <c r="S50" s="5">
        <f>$G50+$I50*T$11/$B$9</f>
        <v>-1285.2</v>
      </c>
      <c r="T50" s="5">
        <f>$H50+$J50*T$11/$B$9</f>
        <v>66.5856</v>
      </c>
      <c r="U50" s="5">
        <f>$G50+$I50*V$11/$B$9</f>
        <v>-1338.75</v>
      </c>
      <c r="V50" s="5">
        <f>$H50+$J50*V$11/$B$9</f>
        <v>71.75699999999999</v>
      </c>
      <c r="W50" s="5">
        <f>$G50+$I50*X$11/$B$9</f>
        <v>-1392.3</v>
      </c>
      <c r="X50" s="5">
        <f>$H50+$J50*X$11/$B$9</f>
        <v>76.9284</v>
      </c>
    </row>
    <row r="51" spans="2:24" ht="12.75">
      <c r="B51" s="5"/>
      <c r="C51" s="17"/>
      <c r="D51" s="3"/>
      <c r="E51" s="17"/>
      <c r="F51" s="17"/>
      <c r="G51" s="5">
        <f>G50</f>
        <v>-1071</v>
      </c>
      <c r="H51" s="2">
        <v>0</v>
      </c>
      <c r="I51" s="5">
        <f>I50</f>
        <v>-214.2</v>
      </c>
      <c r="J51" s="5">
        <f>($C$9*F51-$C$10*E51)*($C$5/2-$C$6)</f>
        <v>0</v>
      </c>
      <c r="K51" s="5">
        <f t="shared" si="0"/>
        <v>-1071</v>
      </c>
      <c r="L51" s="5">
        <f t="shared" si="1"/>
        <v>0</v>
      </c>
      <c r="M51" s="5">
        <f t="shared" si="2"/>
        <v>-1124.55</v>
      </c>
      <c r="N51" s="5">
        <f>$H51+$J51*N$11/$B$9</f>
        <v>0</v>
      </c>
      <c r="O51" s="5">
        <f t="shared" si="2"/>
        <v>-1178.1</v>
      </c>
      <c r="P51" s="5">
        <f>$H51+$J51*P$11/$B$9</f>
        <v>0</v>
      </c>
      <c r="Q51" s="5">
        <f>$G51+$I51*R$11/$B$9</f>
        <v>-1231.65</v>
      </c>
      <c r="R51" s="5">
        <f>$H51+$J51*R$11/$B$9</f>
        <v>0</v>
      </c>
      <c r="S51" s="5">
        <f>$G51+$I51*T$11/$B$9</f>
        <v>-1285.2</v>
      </c>
      <c r="T51" s="5">
        <f>$H51+$J51*T$11/$B$9</f>
        <v>0</v>
      </c>
      <c r="U51" s="5">
        <f>$G51+$I51*V$11/$B$9</f>
        <v>-1338.75</v>
      </c>
      <c r="V51" s="5">
        <f>$H51+$J51*V$11/$B$9</f>
        <v>0</v>
      </c>
      <c r="W51" s="5">
        <f>$G51+$I51*X$11/$B$9</f>
        <v>-1392.3</v>
      </c>
      <c r="X51" s="5">
        <f>$H51+$J51*X$11/$B$9</f>
        <v>0</v>
      </c>
    </row>
    <row r="52" spans="2:23" ht="12.75">
      <c r="B52" s="5"/>
      <c r="C52" s="17"/>
      <c r="D52" s="3"/>
      <c r="E52" s="17"/>
      <c r="F52" s="17"/>
      <c r="I52" s="5"/>
      <c r="J52" s="5"/>
      <c r="K52" s="5"/>
      <c r="M52" s="5"/>
      <c r="O52" s="5"/>
      <c r="Q52" s="5"/>
      <c r="S52" s="5"/>
      <c r="U52" s="5"/>
      <c r="W52" s="5"/>
    </row>
    <row r="53" ht="12.75">
      <c r="A53" s="2" t="s">
        <v>128</v>
      </c>
    </row>
    <row r="54" ht="12.75">
      <c r="B54" s="5"/>
    </row>
    <row r="55" spans="7:8" ht="12.75">
      <c r="G55" s="5"/>
      <c r="H55" s="5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3" sqref="A3"/>
    </sheetView>
  </sheetViews>
  <sheetFormatPr defaultColWidth="9.140625" defaultRowHeight="12.75"/>
  <cols>
    <col min="6" max="6" width="9.57421875" style="0" bestFit="1" customWidth="1"/>
  </cols>
  <sheetData>
    <row r="1" ht="12.75">
      <c r="A1" s="1" t="s">
        <v>135</v>
      </c>
    </row>
    <row r="2" ht="12.75">
      <c r="A2" s="1" t="s">
        <v>150</v>
      </c>
    </row>
    <row r="4" spans="2:4" ht="12.75">
      <c r="B4" s="2" t="s">
        <v>51</v>
      </c>
      <c r="C4" s="2" t="s">
        <v>52</v>
      </c>
      <c r="D4" s="2"/>
    </row>
    <row r="5" spans="1:10" ht="12.75">
      <c r="A5" s="2" t="s">
        <v>2</v>
      </c>
      <c r="B5" s="2">
        <v>30</v>
      </c>
      <c r="C5" s="5">
        <f>B5/100</f>
        <v>0.3</v>
      </c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7" ht="12.75">
      <c r="A6" s="2" t="s">
        <v>6</v>
      </c>
      <c r="B6" s="2">
        <v>60</v>
      </c>
      <c r="C6" s="5">
        <f>B6/100</f>
        <v>0.6</v>
      </c>
      <c r="D6" s="2"/>
      <c r="E6" s="15" t="s">
        <v>137</v>
      </c>
      <c r="F6" s="2">
        <v>1.6</v>
      </c>
      <c r="G6" s="2"/>
    </row>
    <row r="7" spans="1:10" ht="12.75">
      <c r="A7" s="2" t="s">
        <v>8</v>
      </c>
      <c r="B7" s="2">
        <v>4</v>
      </c>
      <c r="C7" s="2">
        <f>B7/100</f>
        <v>0.04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 t="s">
        <v>13</v>
      </c>
      <c r="B8" s="2">
        <f>B6-B7</f>
        <v>56</v>
      </c>
      <c r="C8" s="2">
        <f>B8/100</f>
        <v>0.56</v>
      </c>
    </row>
    <row r="9" spans="1:5" ht="12.75">
      <c r="A9" s="2" t="s">
        <v>10</v>
      </c>
      <c r="B9" s="2">
        <v>10</v>
      </c>
      <c r="C9" s="6">
        <f>B9/10000</f>
        <v>0.001</v>
      </c>
      <c r="D9" s="2"/>
      <c r="E9" s="2" t="s">
        <v>139</v>
      </c>
    </row>
    <row r="10" spans="1:7" ht="12.75">
      <c r="A10" s="2" t="s">
        <v>12</v>
      </c>
      <c r="B10" s="2">
        <v>6</v>
      </c>
      <c r="C10" s="6">
        <f>B10/10000</f>
        <v>0.0006</v>
      </c>
      <c r="E10" s="2" t="s">
        <v>142</v>
      </c>
      <c r="F10" s="2">
        <v>430</v>
      </c>
      <c r="G10" s="9" t="s">
        <v>17</v>
      </c>
    </row>
    <row r="11" spans="1:7" ht="12.75">
      <c r="A11" s="2"/>
      <c r="B11" s="2"/>
      <c r="C11" s="2"/>
      <c r="E11" s="2" t="s">
        <v>16</v>
      </c>
      <c r="F11" s="2">
        <v>200000</v>
      </c>
      <c r="G11" s="9" t="s">
        <v>17</v>
      </c>
    </row>
    <row r="12" spans="1:10" ht="12.75">
      <c r="A12" s="2" t="s">
        <v>23</v>
      </c>
      <c r="B12" s="2">
        <v>45</v>
      </c>
      <c r="C12" s="9" t="s">
        <v>24</v>
      </c>
      <c r="E12" s="15" t="s">
        <v>141</v>
      </c>
      <c r="F12" s="2">
        <v>1.15</v>
      </c>
      <c r="J12" s="2" t="s">
        <v>148</v>
      </c>
    </row>
    <row r="13" spans="1:10" ht="12.75">
      <c r="A13" s="2" t="s">
        <v>35</v>
      </c>
      <c r="B13" s="2">
        <v>300</v>
      </c>
      <c r="C13" s="9" t="s">
        <v>30</v>
      </c>
      <c r="E13" s="2" t="s">
        <v>140</v>
      </c>
      <c r="F13" s="3">
        <f>ROUND(F10/F12,1)</f>
        <v>373.9</v>
      </c>
      <c r="G13" s="9" t="s">
        <v>17</v>
      </c>
      <c r="J13" s="5">
        <f>B13-J21</f>
        <v>0.0008593885561936077</v>
      </c>
    </row>
    <row r="14" spans="1:7" ht="12.75">
      <c r="A14" s="2"/>
      <c r="B14" s="3"/>
      <c r="C14" s="6"/>
      <c r="E14" s="15"/>
      <c r="F14" s="3"/>
      <c r="G14" s="2"/>
    </row>
    <row r="15" spans="1:10" ht="12.75">
      <c r="A15" s="2" t="s">
        <v>74</v>
      </c>
      <c r="B15" s="23" t="s">
        <v>143</v>
      </c>
      <c r="C15" s="24" t="s">
        <v>144</v>
      </c>
      <c r="D15" s="23" t="s">
        <v>122</v>
      </c>
      <c r="E15" s="24" t="s">
        <v>112</v>
      </c>
      <c r="F15" s="3" t="s">
        <v>133</v>
      </c>
      <c r="G15" s="2" t="s">
        <v>147</v>
      </c>
      <c r="H15" s="15" t="s">
        <v>2</v>
      </c>
      <c r="I15" s="2" t="s">
        <v>131</v>
      </c>
      <c r="J15" s="2" t="s">
        <v>35</v>
      </c>
    </row>
    <row r="16" spans="1:10" ht="12.75">
      <c r="A16" s="2">
        <v>15</v>
      </c>
      <c r="B16" s="8">
        <f aca="true" t="shared" si="0" ref="B16:B21">-($B$8-A16)/A16*$J$5</f>
        <v>0.009566666666666668</v>
      </c>
      <c r="C16" s="8">
        <f aca="true" t="shared" si="1" ref="C16:C21">(A16-$B$7)/A16*$J$5</f>
        <v>-0.0025666666666666667</v>
      </c>
      <c r="D16" s="3">
        <f aca="true" t="shared" si="2" ref="D16:E21">IF(B16&lt;-$J$7,-$F$13,IF(B16&gt;$J$7,$F$13,B16*$F$11))</f>
        <v>373.9</v>
      </c>
      <c r="E16" s="3">
        <f t="shared" si="2"/>
        <v>-373.9</v>
      </c>
      <c r="F16" s="5">
        <f aca="true" t="shared" si="3" ref="F16:F21">$B$9*D16/10</f>
        <v>373.9</v>
      </c>
      <c r="G16" s="5">
        <f aca="true" t="shared" si="4" ref="G16:G21">$B$10*E16/10</f>
        <v>-224.33999999999997</v>
      </c>
      <c r="H16" s="7">
        <v>0.81</v>
      </c>
      <c r="I16" s="5">
        <f aca="true" t="shared" si="5" ref="I16:I21">-H16*$B$5*A16*$F$7/10</f>
        <v>-401.679</v>
      </c>
      <c r="J16" s="5">
        <f aca="true" t="shared" si="6" ref="J16:J21">F16+G16+I16</f>
        <v>-252.11899999999997</v>
      </c>
    </row>
    <row r="17" spans="1:10" ht="12.75">
      <c r="A17" s="2">
        <v>10</v>
      </c>
      <c r="B17" s="8">
        <f t="shared" si="0"/>
        <v>0.0161</v>
      </c>
      <c r="C17" s="8">
        <f t="shared" si="1"/>
        <v>-0.0021</v>
      </c>
      <c r="D17" s="3">
        <f t="shared" si="2"/>
        <v>373.9</v>
      </c>
      <c r="E17" s="3">
        <f t="shared" si="2"/>
        <v>-373.9</v>
      </c>
      <c r="F17" s="5">
        <f t="shared" si="3"/>
        <v>373.9</v>
      </c>
      <c r="G17" s="5">
        <f t="shared" si="4"/>
        <v>-224.33999999999997</v>
      </c>
      <c r="H17" s="7">
        <v>0.81</v>
      </c>
      <c r="I17" s="5">
        <f t="shared" si="5"/>
        <v>-267.78599999999994</v>
      </c>
      <c r="J17" s="5">
        <f t="shared" si="6"/>
        <v>-118.22599999999994</v>
      </c>
    </row>
    <row r="18" spans="1:10" ht="12.75">
      <c r="A18" s="2">
        <v>5</v>
      </c>
      <c r="B18" s="8">
        <f t="shared" si="0"/>
        <v>0.035699999999999996</v>
      </c>
      <c r="C18" s="8">
        <f t="shared" si="1"/>
        <v>-0.0007000000000000001</v>
      </c>
      <c r="D18" s="3">
        <f t="shared" si="2"/>
        <v>373.9</v>
      </c>
      <c r="E18" s="3">
        <f t="shared" si="2"/>
        <v>-140.00000000000003</v>
      </c>
      <c r="F18" s="5">
        <f t="shared" si="3"/>
        <v>373.9</v>
      </c>
      <c r="G18" s="5">
        <f t="shared" si="4"/>
        <v>-84.00000000000003</v>
      </c>
      <c r="H18" s="7">
        <v>0.81</v>
      </c>
      <c r="I18" s="5">
        <f t="shared" si="5"/>
        <v>-133.89299999999997</v>
      </c>
      <c r="J18" s="5">
        <f t="shared" si="6"/>
        <v>156.007</v>
      </c>
    </row>
    <row r="19" spans="1:10" ht="12.75">
      <c r="A19" s="2">
        <v>4</v>
      </c>
      <c r="B19" s="8">
        <f t="shared" si="0"/>
        <v>0.0455</v>
      </c>
      <c r="C19" s="8">
        <f t="shared" si="1"/>
        <v>0</v>
      </c>
      <c r="D19" s="3">
        <f t="shared" si="2"/>
        <v>373.9</v>
      </c>
      <c r="E19" s="3">
        <f t="shared" si="2"/>
        <v>0</v>
      </c>
      <c r="F19" s="5">
        <f t="shared" si="3"/>
        <v>373.9</v>
      </c>
      <c r="G19" s="5">
        <f t="shared" si="4"/>
        <v>0</v>
      </c>
      <c r="H19" s="7">
        <v>0.81</v>
      </c>
      <c r="I19" s="5">
        <f t="shared" si="5"/>
        <v>-107.1144</v>
      </c>
      <c r="J19" s="5">
        <f t="shared" si="6"/>
        <v>266.7856</v>
      </c>
    </row>
    <row r="20" spans="1:10" ht="12.75">
      <c r="A20" s="2">
        <v>3.76</v>
      </c>
      <c r="B20" s="8">
        <f t="shared" si="0"/>
        <v>0.048627659574468095</v>
      </c>
      <c r="C20" s="8">
        <f t="shared" si="1"/>
        <v>0.00022340425531914917</v>
      </c>
      <c r="D20" s="3">
        <f t="shared" si="2"/>
        <v>373.9</v>
      </c>
      <c r="E20" s="3">
        <f t="shared" si="2"/>
        <v>44.680851063829834</v>
      </c>
      <c r="F20" s="5">
        <f t="shared" si="3"/>
        <v>373.9</v>
      </c>
      <c r="G20" s="5">
        <f t="shared" si="4"/>
        <v>26.8085106382979</v>
      </c>
      <c r="H20" s="7">
        <v>0.81</v>
      </c>
      <c r="I20" s="5">
        <f t="shared" si="5"/>
        <v>-100.687536</v>
      </c>
      <c r="J20" s="5">
        <f t="shared" si="6"/>
        <v>300.02097463829784</v>
      </c>
    </row>
    <row r="21" spans="1:10" ht="12.75">
      <c r="A21" s="2">
        <v>3.760149952887168</v>
      </c>
      <c r="B21" s="8">
        <f t="shared" si="0"/>
        <v>0.04862558074964662</v>
      </c>
      <c r="C21" s="8">
        <f t="shared" si="1"/>
        <v>0.00022325576783190123</v>
      </c>
      <c r="D21" s="3">
        <f t="shared" si="2"/>
        <v>373.9</v>
      </c>
      <c r="E21" s="3">
        <f t="shared" si="2"/>
        <v>44.651153566380245</v>
      </c>
      <c r="F21" s="5">
        <f t="shared" si="3"/>
        <v>373.9</v>
      </c>
      <c r="G21" s="5">
        <f t="shared" si="4"/>
        <v>26.79069213982815</v>
      </c>
      <c r="H21" s="7">
        <v>0.81</v>
      </c>
      <c r="I21" s="5">
        <f t="shared" si="5"/>
        <v>-100.69155152838431</v>
      </c>
      <c r="J21" s="5">
        <f t="shared" si="6"/>
        <v>299.9991406114438</v>
      </c>
    </row>
    <row r="22" spans="7:10" ht="12.75">
      <c r="G22" s="25" t="s">
        <v>149</v>
      </c>
      <c r="H22" s="26">
        <v>0.416</v>
      </c>
      <c r="I22" s="26" t="s">
        <v>23</v>
      </c>
      <c r="J22" s="27">
        <f>(-I21*(B6/2-H22*A21)+(F21-G21)*(B6/2-B7))/100</f>
        <v>118.8808457179799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3" sqref="A3"/>
    </sheetView>
  </sheetViews>
  <sheetFormatPr defaultColWidth="9.140625" defaultRowHeight="12.75"/>
  <cols>
    <col min="6" max="6" width="9.57421875" style="0" bestFit="1" customWidth="1"/>
  </cols>
  <sheetData>
    <row r="1" ht="12.75">
      <c r="A1" s="1" t="s">
        <v>152</v>
      </c>
    </row>
    <row r="2" ht="12.75">
      <c r="A2" s="1" t="s">
        <v>151</v>
      </c>
    </row>
    <row r="4" spans="2:4" ht="12.75">
      <c r="B4" s="2" t="s">
        <v>51</v>
      </c>
      <c r="C4" s="2" t="s">
        <v>52</v>
      </c>
      <c r="D4" s="2"/>
    </row>
    <row r="5" spans="1:10" ht="12.75">
      <c r="A5" s="2" t="s">
        <v>2</v>
      </c>
      <c r="B5" s="2">
        <v>30</v>
      </c>
      <c r="C5" s="5">
        <f>B5/100</f>
        <v>0.3</v>
      </c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7" ht="12.75">
      <c r="A6" s="2" t="s">
        <v>6</v>
      </c>
      <c r="B6" s="2">
        <v>60</v>
      </c>
      <c r="C6" s="5">
        <f>B6/100</f>
        <v>0.6</v>
      </c>
      <c r="D6" s="2"/>
      <c r="E6" s="15" t="s">
        <v>137</v>
      </c>
      <c r="F6" s="2">
        <v>1.6</v>
      </c>
      <c r="G6" s="2"/>
    </row>
    <row r="7" spans="1:10" ht="12.75">
      <c r="A7" s="2" t="s">
        <v>8</v>
      </c>
      <c r="B7" s="2">
        <v>4</v>
      </c>
      <c r="C7" s="2">
        <f>B7/100</f>
        <v>0.04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 t="s">
        <v>13</v>
      </c>
      <c r="B8" s="2">
        <f>B6-B7</f>
        <v>56</v>
      </c>
      <c r="C8" s="2">
        <f>B8/100</f>
        <v>0.56</v>
      </c>
    </row>
    <row r="9" spans="1:5" ht="12.75">
      <c r="A9" s="2" t="s">
        <v>10</v>
      </c>
      <c r="B9" s="2">
        <v>10</v>
      </c>
      <c r="C9" s="6">
        <f>B9/10000</f>
        <v>0.001</v>
      </c>
      <c r="D9" s="2"/>
      <c r="E9" s="2" t="s">
        <v>139</v>
      </c>
    </row>
    <row r="10" spans="1:7" ht="12.75">
      <c r="A10" s="2" t="s">
        <v>12</v>
      </c>
      <c r="B10" s="2">
        <v>6</v>
      </c>
      <c r="C10" s="6">
        <f>B10/10000</f>
        <v>0.0006</v>
      </c>
      <c r="E10" s="2" t="s">
        <v>142</v>
      </c>
      <c r="F10" s="2">
        <v>430</v>
      </c>
      <c r="G10" s="9" t="s">
        <v>17</v>
      </c>
    </row>
    <row r="11" spans="1:7" ht="12.75">
      <c r="A11" s="2"/>
      <c r="B11" s="2"/>
      <c r="C11" s="2"/>
      <c r="E11" s="2" t="s">
        <v>16</v>
      </c>
      <c r="F11" s="2">
        <v>200000</v>
      </c>
      <c r="G11" s="9" t="s">
        <v>17</v>
      </c>
    </row>
    <row r="12" spans="1:10" ht="12.75">
      <c r="A12" s="2" t="s">
        <v>23</v>
      </c>
      <c r="B12" s="2">
        <v>270</v>
      </c>
      <c r="C12" s="9" t="s">
        <v>24</v>
      </c>
      <c r="E12" s="15" t="s">
        <v>141</v>
      </c>
      <c r="F12" s="2">
        <v>1.15</v>
      </c>
      <c r="J12" s="2" t="s">
        <v>148</v>
      </c>
    </row>
    <row r="13" spans="1:10" ht="12.75">
      <c r="A13" s="2" t="s">
        <v>35</v>
      </c>
      <c r="B13" s="2">
        <v>-675</v>
      </c>
      <c r="C13" s="9" t="s">
        <v>30</v>
      </c>
      <c r="E13" s="2" t="s">
        <v>140</v>
      </c>
      <c r="F13" s="3">
        <f>ROUND(F10/F12,1)</f>
        <v>373.9</v>
      </c>
      <c r="G13" s="9" t="s">
        <v>17</v>
      </c>
      <c r="J13" s="5">
        <f>B13-J21</f>
        <v>0</v>
      </c>
    </row>
    <row r="14" spans="1:7" ht="12.75">
      <c r="A14" s="2"/>
      <c r="B14" s="3"/>
      <c r="C14" s="6"/>
      <c r="E14" s="15"/>
      <c r="F14" s="3"/>
      <c r="G14" s="2"/>
    </row>
    <row r="15" spans="1:10" ht="12.75">
      <c r="A15" s="2" t="s">
        <v>74</v>
      </c>
      <c r="B15" s="23" t="s">
        <v>143</v>
      </c>
      <c r="C15" s="24" t="s">
        <v>144</v>
      </c>
      <c r="D15" s="23" t="s">
        <v>122</v>
      </c>
      <c r="E15" s="24" t="s">
        <v>112</v>
      </c>
      <c r="F15" s="3" t="s">
        <v>133</v>
      </c>
      <c r="G15" s="2" t="s">
        <v>147</v>
      </c>
      <c r="H15" s="15" t="s">
        <v>2</v>
      </c>
      <c r="I15" s="2" t="s">
        <v>131</v>
      </c>
      <c r="J15" s="2" t="s">
        <v>35</v>
      </c>
    </row>
    <row r="16" spans="1:10" ht="12.75">
      <c r="A16" s="2">
        <v>60</v>
      </c>
      <c r="B16" s="8">
        <f aca="true" t="shared" si="0" ref="B16:B21">-($B$8-A16)/A16*$J$5</f>
        <v>-0.00023333333333333333</v>
      </c>
      <c r="C16" s="8">
        <f aca="true" t="shared" si="1" ref="C16:C21">(A16-$B$7)/A16*$J$5</f>
        <v>-0.003266666666666667</v>
      </c>
      <c r="D16" s="3">
        <f>IF(B16&lt;-$J$7,-$F$13,IF(B16&gt;$J$7,$F$13,B16*$F$11))</f>
        <v>-46.666666666666664</v>
      </c>
      <c r="E16" s="3">
        <f aca="true" t="shared" si="2" ref="D16:E21">IF(C16&lt;-$J$7,-$F$13,IF(C16&gt;$J$7,$F$13,C16*$F$11))</f>
        <v>-373.9</v>
      </c>
      <c r="F16" s="5">
        <f aca="true" t="shared" si="3" ref="F16:F21">$B$9*D16/10</f>
        <v>-46.666666666666664</v>
      </c>
      <c r="G16" s="5">
        <f aca="true" t="shared" si="4" ref="G16:G21">$B$10*E16/10</f>
        <v>-224.33999999999997</v>
      </c>
      <c r="H16" s="7">
        <v>0.81</v>
      </c>
      <c r="I16" s="5">
        <f aca="true" t="shared" si="5" ref="I16:I21">-H16*$B$5*A16*$F$7/10</f>
        <v>-1606.716</v>
      </c>
      <c r="J16" s="5">
        <f aca="true" t="shared" si="6" ref="J16:J21">F16+G16+I16</f>
        <v>-1877.7226666666666</v>
      </c>
    </row>
    <row r="17" spans="1:10" ht="12.75">
      <c r="A17" s="2">
        <v>30</v>
      </c>
      <c r="B17" s="8">
        <f t="shared" si="0"/>
        <v>0.0030333333333333336</v>
      </c>
      <c r="C17" s="8">
        <f t="shared" si="1"/>
        <v>-0.0030333333333333336</v>
      </c>
      <c r="D17" s="3">
        <f t="shared" si="2"/>
        <v>373.9</v>
      </c>
      <c r="E17" s="3">
        <f t="shared" si="2"/>
        <v>-373.9</v>
      </c>
      <c r="F17" s="5">
        <f t="shared" si="3"/>
        <v>373.9</v>
      </c>
      <c r="G17" s="5">
        <f t="shared" si="4"/>
        <v>-224.33999999999997</v>
      </c>
      <c r="H17" s="7">
        <v>0.81</v>
      </c>
      <c r="I17" s="5">
        <f t="shared" si="5"/>
        <v>-803.358</v>
      </c>
      <c r="J17" s="5">
        <f t="shared" si="6"/>
        <v>-653.798</v>
      </c>
    </row>
    <row r="18" spans="1:10" ht="12.75">
      <c r="A18" s="2">
        <v>45</v>
      </c>
      <c r="B18" s="8">
        <f t="shared" si="0"/>
        <v>0.0008555555555555556</v>
      </c>
      <c r="C18" s="8">
        <f t="shared" si="1"/>
        <v>-0.003188888888888889</v>
      </c>
      <c r="D18" s="3">
        <f t="shared" si="2"/>
        <v>171.11111111111111</v>
      </c>
      <c r="E18" s="3">
        <f t="shared" si="2"/>
        <v>-373.9</v>
      </c>
      <c r="F18" s="5">
        <f t="shared" si="3"/>
        <v>171.11111111111111</v>
      </c>
      <c r="G18" s="5">
        <f t="shared" si="4"/>
        <v>-224.33999999999997</v>
      </c>
      <c r="H18" s="7">
        <v>0.81</v>
      </c>
      <c r="I18" s="5">
        <f t="shared" si="5"/>
        <v>-1205.0369999999998</v>
      </c>
      <c r="J18" s="5">
        <f t="shared" si="6"/>
        <v>-1258.2658888888886</v>
      </c>
    </row>
    <row r="19" spans="1:10" ht="12.75">
      <c r="A19" s="2">
        <v>37.5</v>
      </c>
      <c r="B19" s="8">
        <f t="shared" si="0"/>
        <v>0.0017266666666666667</v>
      </c>
      <c r="C19" s="8">
        <f t="shared" si="1"/>
        <v>-0.0031266666666666665</v>
      </c>
      <c r="D19" s="3">
        <f t="shared" si="2"/>
        <v>345.33333333333337</v>
      </c>
      <c r="E19" s="3">
        <f t="shared" si="2"/>
        <v>-373.9</v>
      </c>
      <c r="F19" s="5">
        <f t="shared" si="3"/>
        <v>345.33333333333337</v>
      </c>
      <c r="G19" s="5">
        <f t="shared" si="4"/>
        <v>-224.33999999999997</v>
      </c>
      <c r="H19" s="7">
        <v>0.81</v>
      </c>
      <c r="I19" s="5">
        <f t="shared" si="5"/>
        <v>-1004.1975</v>
      </c>
      <c r="J19" s="5">
        <f t="shared" si="6"/>
        <v>-883.2041666666667</v>
      </c>
    </row>
    <row r="20" spans="1:10" ht="12.75">
      <c r="A20" s="2">
        <v>30.79</v>
      </c>
      <c r="B20" s="8">
        <f t="shared" si="0"/>
        <v>0.002865703150373498</v>
      </c>
      <c r="C20" s="8">
        <f t="shared" si="1"/>
        <v>-0.003045306917830464</v>
      </c>
      <c r="D20" s="3">
        <f t="shared" si="2"/>
        <v>373.9</v>
      </c>
      <c r="E20" s="3">
        <f t="shared" si="2"/>
        <v>-373.9</v>
      </c>
      <c r="F20" s="5">
        <f t="shared" si="3"/>
        <v>373.9</v>
      </c>
      <c r="G20" s="5">
        <f t="shared" si="4"/>
        <v>-224.33999999999997</v>
      </c>
      <c r="H20" s="7">
        <v>0.81</v>
      </c>
      <c r="I20" s="5">
        <f t="shared" si="5"/>
        <v>-824.5130939999999</v>
      </c>
      <c r="J20" s="5">
        <f t="shared" si="6"/>
        <v>-674.953094</v>
      </c>
    </row>
    <row r="21" spans="1:10" ht="12.75">
      <c r="A21" s="2">
        <v>30.79175162256431</v>
      </c>
      <c r="B21" s="8">
        <f t="shared" si="0"/>
        <v>0.0028653410303677066</v>
      </c>
      <c r="C21" s="8">
        <f t="shared" si="1"/>
        <v>-0.0030453327835451636</v>
      </c>
      <c r="D21" s="3">
        <f t="shared" si="2"/>
        <v>373.9</v>
      </c>
      <c r="E21" s="3">
        <f t="shared" si="2"/>
        <v>-373.9</v>
      </c>
      <c r="F21" s="5">
        <f t="shared" si="3"/>
        <v>373.9</v>
      </c>
      <c r="G21" s="5">
        <f t="shared" si="4"/>
        <v>-224.33999999999997</v>
      </c>
      <c r="H21" s="7">
        <v>0.81</v>
      </c>
      <c r="I21" s="5">
        <f t="shared" si="5"/>
        <v>-824.5600000000006</v>
      </c>
      <c r="J21" s="5">
        <f t="shared" si="6"/>
        <v>-675.0000000000007</v>
      </c>
    </row>
    <row r="22" spans="7:10" ht="12.75">
      <c r="G22" s="25" t="s">
        <v>149</v>
      </c>
      <c r="H22" s="26">
        <v>0.416</v>
      </c>
      <c r="I22" s="26" t="s">
        <v>23</v>
      </c>
      <c r="J22" s="27">
        <f>(-I21*(B6/2-H22*A21)+(F21-G21)*(B6/2-B7))/100</f>
        <v>297.28946965352935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G19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1</v>
      </c>
    </row>
    <row r="5" spans="1:7" ht="12.75">
      <c r="A5" s="2" t="s">
        <v>2</v>
      </c>
      <c r="B5" s="2">
        <v>30</v>
      </c>
      <c r="C5" t="s">
        <v>3</v>
      </c>
      <c r="E5" s="2" t="s">
        <v>4</v>
      </c>
      <c r="F5" s="3">
        <f>B5*B6+B14*(B8+B9)</f>
        <v>1609.7928</v>
      </c>
      <c r="G5" t="s">
        <v>5</v>
      </c>
    </row>
    <row r="6" spans="1:7" ht="12.75">
      <c r="A6" s="2" t="s">
        <v>6</v>
      </c>
      <c r="B6" s="2">
        <v>50</v>
      </c>
      <c r="C6" t="s">
        <v>3</v>
      </c>
      <c r="E6" s="2" t="s">
        <v>99</v>
      </c>
      <c r="F6" s="4">
        <f>B5*B6^2/2+B14*(B9*B7+B8*B10)</f>
        <v>41642.361600000004</v>
      </c>
      <c r="G6" t="s">
        <v>7</v>
      </c>
    </row>
    <row r="7" spans="1:7" ht="12.75">
      <c r="A7" s="2" t="s">
        <v>8</v>
      </c>
      <c r="B7" s="2">
        <v>4</v>
      </c>
      <c r="C7" t="s">
        <v>3</v>
      </c>
      <c r="E7" s="2" t="s">
        <v>11</v>
      </c>
      <c r="F7" s="5">
        <f>F6/F5</f>
        <v>25.868149987998457</v>
      </c>
      <c r="G7" t="s">
        <v>3</v>
      </c>
    </row>
    <row r="8" spans="1:7" ht="12.75">
      <c r="A8" s="2" t="s">
        <v>10</v>
      </c>
      <c r="B8" s="2">
        <v>12.56</v>
      </c>
      <c r="C8" t="s">
        <v>5</v>
      </c>
      <c r="E8" s="2" t="s">
        <v>9</v>
      </c>
      <c r="F8" s="5">
        <f>B6-F7</f>
        <v>24.131850012001543</v>
      </c>
      <c r="G8" t="s">
        <v>3</v>
      </c>
    </row>
    <row r="9" spans="1:3" ht="12.75">
      <c r="A9" s="2" t="s">
        <v>12</v>
      </c>
      <c r="B9" s="2">
        <v>3.08</v>
      </c>
      <c r="C9" t="s">
        <v>5</v>
      </c>
    </row>
    <row r="10" spans="1:7" ht="12.75">
      <c r="A10" s="2" t="s">
        <v>13</v>
      </c>
      <c r="B10" s="2">
        <f>B6-B7</f>
        <v>46</v>
      </c>
      <c r="C10" t="s">
        <v>3</v>
      </c>
      <c r="E10" s="2" t="s">
        <v>14</v>
      </c>
      <c r="F10" s="4">
        <f>B5*(F8^3+F7^3)/3+B14*(B9*(F8-B7)^2+B8*(F7-B7)^2)</f>
        <v>364558.45196980203</v>
      </c>
      <c r="G10" t="s">
        <v>15</v>
      </c>
    </row>
    <row r="12" spans="1:7" ht="12.75">
      <c r="A12" s="2" t="s">
        <v>16</v>
      </c>
      <c r="B12" s="2">
        <v>200000</v>
      </c>
      <c r="C12" t="s">
        <v>17</v>
      </c>
      <c r="E12" s="2" t="s">
        <v>18</v>
      </c>
      <c r="F12" s="5">
        <f>B17/F5*10+$B$16/$F$10*(-F7)*1000</f>
        <v>-4.169072084561534</v>
      </c>
      <c r="G12" t="s">
        <v>17</v>
      </c>
    </row>
    <row r="13" spans="1:7" ht="12.75">
      <c r="A13" s="2" t="s">
        <v>19</v>
      </c>
      <c r="B13" s="2">
        <v>28500</v>
      </c>
      <c r="C13" t="s">
        <v>17</v>
      </c>
      <c r="E13" s="2" t="s">
        <v>20</v>
      </c>
      <c r="F13" s="5">
        <f>B17/F5*10+$B$16/$F$10*F8*1000</f>
        <v>2.688538777268344</v>
      </c>
      <c r="G13" t="s">
        <v>17</v>
      </c>
    </row>
    <row r="14" spans="1:2" ht="12.75">
      <c r="A14" s="2" t="s">
        <v>21</v>
      </c>
      <c r="B14" s="2">
        <f>ROUND(B12/B13,2)</f>
        <v>7.02</v>
      </c>
    </row>
    <row r="15" spans="5:7" ht="12.75">
      <c r="E15" s="2" t="s">
        <v>22</v>
      </c>
      <c r="F15" s="3">
        <f>(B17/F5*10+$B$16/$F$10*(-F7+$B$7)*1000)*$B$14</f>
        <v>-25.415651773618308</v>
      </c>
      <c r="G15" t="s">
        <v>17</v>
      </c>
    </row>
    <row r="16" spans="1:7" ht="12.75">
      <c r="A16" s="2" t="s">
        <v>23</v>
      </c>
      <c r="B16" s="2">
        <v>50</v>
      </c>
      <c r="C16" t="s">
        <v>24</v>
      </c>
      <c r="E16" s="2" t="s">
        <v>25</v>
      </c>
      <c r="F16" s="3">
        <f>(B17/F5*10+$B$16/$F$10*(F8-$B$7)*1000)*$B$14</f>
        <v>15.02230795642011</v>
      </c>
      <c r="G16" t="s">
        <v>17</v>
      </c>
    </row>
    <row r="17" spans="1:3" ht="12.75">
      <c r="A17" s="2" t="s">
        <v>35</v>
      </c>
      <c r="B17" s="2">
        <v>-100</v>
      </c>
      <c r="C17" t="s">
        <v>30</v>
      </c>
    </row>
    <row r="18" spans="5:7" ht="12.75">
      <c r="E18" s="2" t="s">
        <v>27</v>
      </c>
      <c r="F18" s="3">
        <f>(B19-B17/F5*10)*F10/F8/1000</f>
        <v>38.69186830911842</v>
      </c>
      <c r="G18" t="s">
        <v>24</v>
      </c>
    </row>
    <row r="19" spans="1:3" ht="12.75">
      <c r="A19" s="2" t="s">
        <v>26</v>
      </c>
      <c r="B19" s="2">
        <v>1.94</v>
      </c>
      <c r="C19" t="s">
        <v>17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3" sqref="A3"/>
    </sheetView>
  </sheetViews>
  <sheetFormatPr defaultColWidth="9.140625" defaultRowHeight="12.75"/>
  <cols>
    <col min="6" max="6" width="9.57421875" style="0" bestFit="1" customWidth="1"/>
  </cols>
  <sheetData>
    <row r="1" ht="12.75">
      <c r="A1" s="1" t="s">
        <v>153</v>
      </c>
    </row>
    <row r="2" ht="12.75">
      <c r="A2" s="1" t="s">
        <v>154</v>
      </c>
    </row>
    <row r="4" spans="2:4" ht="12.75">
      <c r="B4" s="2" t="s">
        <v>51</v>
      </c>
      <c r="C4" s="2" t="s">
        <v>52</v>
      </c>
      <c r="D4" s="2"/>
    </row>
    <row r="5" spans="1:10" ht="12.75">
      <c r="A5" s="2" t="s">
        <v>2</v>
      </c>
      <c r="B5" s="2">
        <v>30</v>
      </c>
      <c r="C5" s="5">
        <f>B5/100</f>
        <v>0.3</v>
      </c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10" ht="12.75">
      <c r="A6" s="2" t="s">
        <v>6</v>
      </c>
      <c r="B6" s="2">
        <v>60</v>
      </c>
      <c r="C6" s="5">
        <f>B6/100</f>
        <v>0.6</v>
      </c>
      <c r="D6" s="2"/>
      <c r="E6" s="15" t="s">
        <v>137</v>
      </c>
      <c r="F6" s="2">
        <v>1.6</v>
      </c>
      <c r="G6" s="2"/>
      <c r="I6" s="15" t="s">
        <v>156</v>
      </c>
      <c r="J6" s="6">
        <v>-0.002</v>
      </c>
    </row>
    <row r="7" spans="1:10" ht="12.75">
      <c r="A7" s="2" t="s">
        <v>8</v>
      </c>
      <c r="B7" s="2">
        <v>4</v>
      </c>
      <c r="C7" s="2">
        <f>B7/100</f>
        <v>0.04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 t="s">
        <v>13</v>
      </c>
      <c r="B8" s="2">
        <f>B6-B7</f>
        <v>56</v>
      </c>
      <c r="C8" s="2">
        <f>B8/100</f>
        <v>0.56</v>
      </c>
    </row>
    <row r="9" spans="1:5" ht="12.75">
      <c r="A9" s="2" t="s">
        <v>10</v>
      </c>
      <c r="B9" s="2">
        <v>10</v>
      </c>
      <c r="C9" s="6">
        <f>B9/10000</f>
        <v>0.001</v>
      </c>
      <c r="D9" s="2"/>
      <c r="E9" s="2" t="s">
        <v>139</v>
      </c>
    </row>
    <row r="10" spans="1:7" ht="12.75">
      <c r="A10" s="2" t="s">
        <v>12</v>
      </c>
      <c r="B10" s="2">
        <v>6</v>
      </c>
      <c r="C10" s="6">
        <f>B10/10000</f>
        <v>0.0006</v>
      </c>
      <c r="E10" s="2" t="s">
        <v>142</v>
      </c>
      <c r="F10" s="2">
        <v>430</v>
      </c>
      <c r="G10" s="9" t="s">
        <v>17</v>
      </c>
    </row>
    <row r="11" spans="1:7" ht="12.75">
      <c r="A11" s="2"/>
      <c r="B11" s="2"/>
      <c r="C11" s="2"/>
      <c r="E11" s="2" t="s">
        <v>16</v>
      </c>
      <c r="F11" s="2">
        <v>200000</v>
      </c>
      <c r="G11" s="9" t="s">
        <v>17</v>
      </c>
    </row>
    <row r="12" spans="1:10" ht="12.75">
      <c r="A12" s="2" t="s">
        <v>23</v>
      </c>
      <c r="B12" s="2">
        <v>90</v>
      </c>
      <c r="C12" s="9" t="s">
        <v>24</v>
      </c>
      <c r="E12" s="15" t="s">
        <v>141</v>
      </c>
      <c r="F12" s="2">
        <v>1.15</v>
      </c>
      <c r="J12" s="2" t="s">
        <v>148</v>
      </c>
    </row>
    <row r="13" spans="1:10" ht="12.75">
      <c r="A13" s="2" t="s">
        <v>35</v>
      </c>
      <c r="B13" s="2">
        <v>-2000</v>
      </c>
      <c r="C13" s="9" t="s">
        <v>30</v>
      </c>
      <c r="E13" s="2" t="s">
        <v>140</v>
      </c>
      <c r="F13" s="3">
        <f>ROUND(F10/F12,1)</f>
        <v>373.9</v>
      </c>
      <c r="G13" s="9" t="s">
        <v>17</v>
      </c>
      <c r="J13" s="5">
        <f>B13-J21</f>
        <v>8.88115209818352E-07</v>
      </c>
    </row>
    <row r="14" spans="1:7" ht="12.75">
      <c r="A14" s="2"/>
      <c r="B14" s="3"/>
      <c r="C14" s="6"/>
      <c r="E14" s="15"/>
      <c r="F14" s="3"/>
      <c r="G14" s="2"/>
    </row>
    <row r="15" spans="1:10" ht="12.75">
      <c r="A15" s="15" t="s">
        <v>155</v>
      </c>
      <c r="B15" s="23" t="s">
        <v>143</v>
      </c>
      <c r="C15" s="24" t="s">
        <v>144</v>
      </c>
      <c r="D15" s="23" t="s">
        <v>122</v>
      </c>
      <c r="E15" s="24" t="s">
        <v>112</v>
      </c>
      <c r="F15" s="3" t="s">
        <v>133</v>
      </c>
      <c r="G15" s="2" t="s">
        <v>147</v>
      </c>
      <c r="H15" s="15" t="s">
        <v>2</v>
      </c>
      <c r="I15" s="2" t="s">
        <v>131</v>
      </c>
      <c r="J15" s="2" t="s">
        <v>35</v>
      </c>
    </row>
    <row r="16" spans="1:10" ht="12.75">
      <c r="A16" s="2">
        <v>0</v>
      </c>
      <c r="B16" s="8">
        <f aca="true" t="shared" si="0" ref="B16:B21">($B$7/(4/7*$B$6)*(1-A16)+A16)*$J$6</f>
        <v>-0.00023333333333333333</v>
      </c>
      <c r="C16" s="8">
        <f aca="true" t="shared" si="1" ref="C16:C21">($B$8/(4/7*$B$6)*(1-A16)+A16)*$J$6</f>
        <v>-0.003266666666666667</v>
      </c>
      <c r="D16" s="3">
        <f>IF(B16&lt;-$J$7,-$F$13,IF(B16&gt;$J$7,$F$13,B16*$F$11))</f>
        <v>-46.666666666666664</v>
      </c>
      <c r="E16" s="3">
        <f aca="true" t="shared" si="2" ref="D16:E21">IF(C16&lt;-$J$7,-$F$13,IF(C16&gt;$J$7,$F$13,C16*$F$11))</f>
        <v>-373.9</v>
      </c>
      <c r="F16" s="5">
        <f aca="true" t="shared" si="3" ref="F16:F21">$B$9*D16/10</f>
        <v>-46.666666666666664</v>
      </c>
      <c r="G16" s="5">
        <f aca="true" t="shared" si="4" ref="G16:G21">$B$10*E16/10</f>
        <v>-224.33999999999997</v>
      </c>
      <c r="H16" s="7">
        <f aca="true" t="shared" si="5" ref="H16:H21">1-4/21*(1-A16)^2</f>
        <v>0.8095238095238095</v>
      </c>
      <c r="I16" s="5">
        <f aca="true" t="shared" si="6" ref="I16:I21">-H16*$B$5*$B$6*$F$7/10</f>
        <v>-1605.7714285714285</v>
      </c>
      <c r="J16" s="5">
        <f aca="true" t="shared" si="7" ref="J16:J21">F16+G16+I16</f>
        <v>-1876.7780952380951</v>
      </c>
    </row>
    <row r="17" spans="1:10" ht="12.75">
      <c r="A17" s="2">
        <v>0.5</v>
      </c>
      <c r="B17" s="8">
        <f t="shared" si="0"/>
        <v>-0.0011166666666666666</v>
      </c>
      <c r="C17" s="8">
        <f t="shared" si="1"/>
        <v>-0.0026333333333333334</v>
      </c>
      <c r="D17" s="3">
        <f t="shared" si="2"/>
        <v>-223.33333333333331</v>
      </c>
      <c r="E17" s="3">
        <f t="shared" si="2"/>
        <v>-373.9</v>
      </c>
      <c r="F17" s="5">
        <f t="shared" si="3"/>
        <v>-223.33333333333331</v>
      </c>
      <c r="G17" s="5">
        <f t="shared" si="4"/>
        <v>-224.33999999999997</v>
      </c>
      <c r="H17" s="7">
        <f t="shared" si="5"/>
        <v>0.9523809523809523</v>
      </c>
      <c r="I17" s="5">
        <f t="shared" si="6"/>
        <v>-1889.1428571428569</v>
      </c>
      <c r="J17" s="5">
        <f t="shared" si="7"/>
        <v>-2336.81619047619</v>
      </c>
    </row>
    <row r="18" spans="1:10" ht="12.75">
      <c r="A18" s="2">
        <v>0.25</v>
      </c>
      <c r="B18" s="8">
        <f t="shared" si="0"/>
        <v>-0.000675</v>
      </c>
      <c r="C18" s="8">
        <f t="shared" si="1"/>
        <v>-0.0029500000000000004</v>
      </c>
      <c r="D18" s="3">
        <f t="shared" si="2"/>
        <v>-135</v>
      </c>
      <c r="E18" s="3">
        <f t="shared" si="2"/>
        <v>-373.9</v>
      </c>
      <c r="F18" s="5">
        <f t="shared" si="3"/>
        <v>-135</v>
      </c>
      <c r="G18" s="5">
        <f t="shared" si="4"/>
        <v>-224.33999999999997</v>
      </c>
      <c r="H18" s="7">
        <f t="shared" si="5"/>
        <v>0.8928571428571429</v>
      </c>
      <c r="I18" s="5">
        <f t="shared" si="6"/>
        <v>-1771.0714285714287</v>
      </c>
      <c r="J18" s="5">
        <f t="shared" si="7"/>
        <v>-2130.4114285714286</v>
      </c>
    </row>
    <row r="19" spans="1:10" ht="12.75">
      <c r="A19" s="2">
        <v>0.125</v>
      </c>
      <c r="B19" s="8">
        <f t="shared" si="0"/>
        <v>-0.0004541666666666667</v>
      </c>
      <c r="C19" s="8">
        <f t="shared" si="1"/>
        <v>-0.0031083333333333336</v>
      </c>
      <c r="D19" s="3">
        <f t="shared" si="2"/>
        <v>-90.83333333333334</v>
      </c>
      <c r="E19" s="3">
        <f t="shared" si="2"/>
        <v>-373.9</v>
      </c>
      <c r="F19" s="5">
        <f t="shared" si="3"/>
        <v>-90.83333333333334</v>
      </c>
      <c r="G19" s="5">
        <f t="shared" si="4"/>
        <v>-224.33999999999997</v>
      </c>
      <c r="H19" s="7">
        <f t="shared" si="5"/>
        <v>0.8541666666666667</v>
      </c>
      <c r="I19" s="5">
        <f t="shared" si="6"/>
        <v>-1694.3250000000003</v>
      </c>
      <c r="J19" s="5">
        <f t="shared" si="7"/>
        <v>-2009.4983333333334</v>
      </c>
    </row>
    <row r="20" spans="1:10" ht="12.75">
      <c r="A20" s="2">
        <v>0.1157</v>
      </c>
      <c r="B20" s="8">
        <f t="shared" si="0"/>
        <v>-0.0004377366666666667</v>
      </c>
      <c r="C20" s="8">
        <f t="shared" si="1"/>
        <v>-0.003120113333333333</v>
      </c>
      <c r="D20" s="3">
        <f t="shared" si="2"/>
        <v>-87.54733333333334</v>
      </c>
      <c r="E20" s="3">
        <f t="shared" si="2"/>
        <v>-373.9</v>
      </c>
      <c r="F20" s="5">
        <f t="shared" si="3"/>
        <v>-87.54733333333334</v>
      </c>
      <c r="G20" s="5">
        <f t="shared" si="4"/>
        <v>-224.33999999999997</v>
      </c>
      <c r="H20" s="7">
        <f t="shared" si="5"/>
        <v>0.8510501923809524</v>
      </c>
      <c r="I20" s="5">
        <f t="shared" si="6"/>
        <v>-1688.1431616068571</v>
      </c>
      <c r="J20" s="5">
        <f t="shared" si="7"/>
        <v>-2000.0304949401905</v>
      </c>
    </row>
    <row r="21" spans="1:10" ht="12.75">
      <c r="A21" s="2">
        <v>0.11567014988134078</v>
      </c>
      <c r="B21" s="8">
        <f t="shared" si="0"/>
        <v>-0.0004376839314570353</v>
      </c>
      <c r="C21" s="8">
        <f t="shared" si="1"/>
        <v>-0.003120151143483635</v>
      </c>
      <c r="D21" s="3">
        <f t="shared" si="2"/>
        <v>-87.53678629140707</v>
      </c>
      <c r="E21" s="3">
        <f t="shared" si="2"/>
        <v>-373.9</v>
      </c>
      <c r="F21" s="5">
        <f t="shared" si="3"/>
        <v>-87.53678629140707</v>
      </c>
      <c r="G21" s="5">
        <f t="shared" si="4"/>
        <v>-224.33999999999997</v>
      </c>
      <c r="H21" s="7">
        <f t="shared" si="5"/>
        <v>0.8510401364169733</v>
      </c>
      <c r="I21" s="5">
        <f t="shared" si="6"/>
        <v>-1688.1232145967083</v>
      </c>
      <c r="J21" s="5">
        <f t="shared" si="7"/>
        <v>-2000.0000008881152</v>
      </c>
    </row>
    <row r="22" spans="7:10" ht="12.75">
      <c r="G22" s="25" t="s">
        <v>149</v>
      </c>
      <c r="H22" s="28">
        <f>0.5*(1-16/49*(1-A21)^2)/H21</f>
        <v>0.4374883169392769</v>
      </c>
      <c r="I22" s="26" t="s">
        <v>23</v>
      </c>
      <c r="J22" s="27">
        <f>(-I21*(B6/2-H22*$B$6)+(F21-G21)*(B6/2-B7))/100</f>
        <v>98.88528957922522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2" customWidth="1"/>
  </cols>
  <sheetData>
    <row r="1" ht="12.75">
      <c r="A1" s="18" t="s">
        <v>157</v>
      </c>
    </row>
    <row r="2" ht="12.75">
      <c r="A2" s="18" t="s">
        <v>159</v>
      </c>
    </row>
    <row r="4" spans="1:9" ht="12.75">
      <c r="A4" s="2" t="s">
        <v>13</v>
      </c>
      <c r="B4" s="2">
        <v>30</v>
      </c>
      <c r="D4" s="2" t="s">
        <v>136</v>
      </c>
      <c r="E4" s="2">
        <v>25</v>
      </c>
      <c r="F4" s="9" t="s">
        <v>17</v>
      </c>
      <c r="G4"/>
      <c r="H4" s="15" t="s">
        <v>145</v>
      </c>
      <c r="I4" s="2">
        <f>-0.0035</f>
        <v>-0.0035</v>
      </c>
    </row>
    <row r="5" spans="1:9" ht="12.75">
      <c r="A5" s="2" t="s">
        <v>73</v>
      </c>
      <c r="B5" s="2">
        <f>B4/2</f>
        <v>15</v>
      </c>
      <c r="D5" s="15" t="s">
        <v>137</v>
      </c>
      <c r="E5" s="2">
        <v>1.6</v>
      </c>
      <c r="G5"/>
      <c r="H5" s="15" t="s">
        <v>156</v>
      </c>
      <c r="I5" s="6">
        <v>-0.002</v>
      </c>
    </row>
    <row r="6" spans="1:9" ht="12.75">
      <c r="A6" s="2" t="s">
        <v>8</v>
      </c>
      <c r="B6" s="2">
        <v>4</v>
      </c>
      <c r="D6" s="15" t="s">
        <v>138</v>
      </c>
      <c r="E6" s="5">
        <f>ROUND(0.85*0.83*E4/E5,2)</f>
        <v>11.02</v>
      </c>
      <c r="F6" s="9" t="s">
        <v>17</v>
      </c>
      <c r="G6"/>
      <c r="H6" s="15" t="s">
        <v>146</v>
      </c>
      <c r="I6" s="2">
        <f>E12/E10</f>
        <v>0.0018694999999999999</v>
      </c>
    </row>
    <row r="7" spans="1:9" ht="12.75">
      <c r="A7" s="2" t="s">
        <v>162</v>
      </c>
      <c r="B7" s="2">
        <v>1.54</v>
      </c>
      <c r="D7"/>
      <c r="E7"/>
      <c r="F7"/>
      <c r="G7"/>
      <c r="H7"/>
      <c r="I7"/>
    </row>
    <row r="8" spans="1:9" ht="12.75">
      <c r="A8" s="2" t="s">
        <v>163</v>
      </c>
      <c r="B8" s="5">
        <f>B5-B6</f>
        <v>11</v>
      </c>
      <c r="D8" s="2" t="s">
        <v>139</v>
      </c>
      <c r="E8"/>
      <c r="F8"/>
      <c r="G8"/>
      <c r="H8"/>
      <c r="I8"/>
    </row>
    <row r="9" spans="1:9" ht="12.75">
      <c r="A9" s="2" t="s">
        <v>164</v>
      </c>
      <c r="B9" s="5">
        <f>B8*SQRT(0.5)</f>
        <v>7.778174593052023</v>
      </c>
      <c r="D9" s="2" t="s">
        <v>142</v>
      </c>
      <c r="E9" s="2">
        <v>430</v>
      </c>
      <c r="F9" s="9" t="s">
        <v>17</v>
      </c>
      <c r="G9"/>
      <c r="H9"/>
      <c r="I9"/>
    </row>
    <row r="10" spans="1:9" ht="12.75">
      <c r="A10" s="2" t="s">
        <v>165</v>
      </c>
      <c r="B10" s="5">
        <v>0</v>
      </c>
      <c r="D10" s="2" t="s">
        <v>16</v>
      </c>
      <c r="E10" s="2">
        <v>200000</v>
      </c>
      <c r="F10" s="9" t="s">
        <v>17</v>
      </c>
      <c r="G10"/>
      <c r="H10"/>
      <c r="I10"/>
    </row>
    <row r="11" spans="1:9" ht="12.75">
      <c r="A11" s="2" t="s">
        <v>166</v>
      </c>
      <c r="B11" s="5">
        <f>-B9</f>
        <v>-7.778174593052023</v>
      </c>
      <c r="D11" s="15" t="s">
        <v>141</v>
      </c>
      <c r="E11" s="2">
        <v>1.15</v>
      </c>
      <c r="F11"/>
      <c r="G11"/>
      <c r="H11"/>
      <c r="I11" s="2" t="s">
        <v>148</v>
      </c>
    </row>
    <row r="12" spans="1:9" ht="12.75">
      <c r="A12" s="2" t="s">
        <v>167</v>
      </c>
      <c r="B12" s="5">
        <f>-B8</f>
        <v>-11</v>
      </c>
      <c r="D12" s="2" t="s">
        <v>140</v>
      </c>
      <c r="E12" s="3">
        <f>ROUND(E9/E11,1)</f>
        <v>373.9</v>
      </c>
      <c r="F12" s="9" t="s">
        <v>17</v>
      </c>
      <c r="G12"/>
      <c r="H12"/>
      <c r="I12" s="5">
        <f>E14-K20</f>
        <v>-1.571274731304584E-05</v>
      </c>
    </row>
    <row r="14" spans="1:5" ht="12.75">
      <c r="A14" s="2" t="s">
        <v>160</v>
      </c>
      <c r="B14" s="2">
        <v>18</v>
      </c>
      <c r="D14" s="2" t="s">
        <v>161</v>
      </c>
      <c r="E14" s="2">
        <v>-300</v>
      </c>
    </row>
    <row r="16" spans="1:11" ht="12.75">
      <c r="A16" s="2" t="s">
        <v>74</v>
      </c>
      <c r="B16" s="29" t="s">
        <v>169</v>
      </c>
      <c r="C16" s="29" t="s">
        <v>170</v>
      </c>
      <c r="D16" s="29" t="s">
        <v>171</v>
      </c>
      <c r="E16" s="29" t="s">
        <v>172</v>
      </c>
      <c r="F16" s="29" t="s">
        <v>173</v>
      </c>
      <c r="G16" s="2" t="s">
        <v>91</v>
      </c>
      <c r="H16" s="15" t="s">
        <v>168</v>
      </c>
      <c r="I16" s="2" t="s">
        <v>131</v>
      </c>
      <c r="J16" s="2" t="s">
        <v>82</v>
      </c>
      <c r="K16" s="2" t="s">
        <v>35</v>
      </c>
    </row>
    <row r="17" spans="1:11" ht="12.75">
      <c r="A17" s="2">
        <v>30</v>
      </c>
      <c r="B17" s="8">
        <f>(A17-$B$5-$B$8)/A17*$I$4</f>
        <v>-0.00046666666666666666</v>
      </c>
      <c r="C17" s="8">
        <f>(A17-$B$5-$B$9)/A17*$I$4</f>
        <v>-0.000842546297477264</v>
      </c>
      <c r="D17" s="8">
        <f>(A17-$B$5-$B$10)/A17*$I$4</f>
        <v>-0.00175</v>
      </c>
      <c r="E17" s="8">
        <f>(A17-$B$5-$B$11)/A17*$I$4</f>
        <v>-0.002657453702522736</v>
      </c>
      <c r="F17" s="8">
        <f>(A17-$B$5-$B$12)/A17*$I$4</f>
        <v>-0.0030333333333333336</v>
      </c>
      <c r="G17" s="2">
        <f>0.8*A17</f>
        <v>24</v>
      </c>
      <c r="H17" s="6">
        <f>ACOS(1-G17/$B$5)</f>
        <v>2.214297435588181</v>
      </c>
      <c r="I17" s="5">
        <f>-($B$5^2/2*(2*H17-SIN(2*H17))*$E$6/10)</f>
        <v>-668.0510491540895</v>
      </c>
      <c r="J17" s="5">
        <f>-4/3*SIN(H17)^3/(2*H17-SIN(2*H17))*$B$5</f>
        <v>-1.900309866450315</v>
      </c>
      <c r="K17" s="5">
        <f>B19+2*C19+2*D19+2*E19+F19+I17</f>
        <v>-1014.8670344120222</v>
      </c>
    </row>
    <row r="18" spans="2:6" ht="12.75">
      <c r="B18" s="3">
        <f>IF(B17&lt;-$I$6,-$E$12,IF(B17&gt;$I$6,$E$12,B17*$E$10))</f>
        <v>-93.33333333333333</v>
      </c>
      <c r="C18" s="3">
        <f>IF(C17&lt;-$I$6,-$E$12,IF(C17&gt;$I$6,$E$12,C17*$E$10))</f>
        <v>-168.5092594954528</v>
      </c>
      <c r="D18" s="3">
        <f>IF(D17&lt;-$I$6,-$E$12,IF(D17&gt;$I$6,$E$12,D17*$E$10))</f>
        <v>-350</v>
      </c>
      <c r="E18" s="3">
        <f>IF(E17&lt;-$I$6,-$E$12,IF(E17&gt;$I$6,$E$12,E17*$E$10))</f>
        <v>-373.9</v>
      </c>
      <c r="F18" s="3">
        <f>IF(F17&lt;-$I$6,-$E$12,IF(F17&gt;$I$6,$E$12,F17*$E$10))</f>
        <v>-373.9</v>
      </c>
    </row>
    <row r="19" spans="2:6" ht="12.75">
      <c r="B19" s="5">
        <f>B18*$B$7/10</f>
        <v>-14.373333333333331</v>
      </c>
      <c r="C19" s="5">
        <f>C18*$B$7/10</f>
        <v>-25.950425962299732</v>
      </c>
      <c r="D19" s="5">
        <f>D18*$B$7/10</f>
        <v>-53.9</v>
      </c>
      <c r="E19" s="5">
        <f>E18*$B$7/10</f>
        <v>-57.58059999999999</v>
      </c>
      <c r="F19" s="5">
        <f>F18*$B$7/10</f>
        <v>-57.58059999999999</v>
      </c>
    </row>
    <row r="20" spans="1:11" ht="12.75">
      <c r="A20" s="7">
        <v>15.131568853995006</v>
      </c>
      <c r="B20" s="8">
        <f>(A20-$B$5-$B$8)/A20*$I$4</f>
        <v>0.0025139170550034784</v>
      </c>
      <c r="C20" s="8">
        <f>(A20-$B$5-$B$9)/A20*$I$4</f>
        <v>0.001768694333346249</v>
      </c>
      <c r="D20" s="8">
        <f>(A20-$B$5-$B$10)/A20*$I$4</f>
        <v>-3.0432468267224187E-05</v>
      </c>
      <c r="E20" s="8">
        <f>(A20-$B$5-$B$11)/A20*$I$4</f>
        <v>-0.0018295592698806974</v>
      </c>
      <c r="F20" s="8">
        <f>(A20-$B$5-$B$12)/A20*$I$4</f>
        <v>-0.002574781991537927</v>
      </c>
      <c r="G20" s="2">
        <f>0.8*A20</f>
        <v>12.105255083196006</v>
      </c>
      <c r="H20" s="6">
        <f>ACOS(1-G20/$B$5)</f>
        <v>1.3765949412004284</v>
      </c>
      <c r="I20" s="5">
        <f>-($B$5^2/2*(2*H20-SIN(2*H20))*$E$6/10)</f>
        <v>-294.3760641514697</v>
      </c>
      <c r="J20" s="5">
        <f>-4/3*SIN(H20)^3/(2*H20-SIN(2*H20))*$B$5</f>
        <v>-7.956774080907102</v>
      </c>
      <c r="K20" s="5">
        <f>B22+2*C22+2*D22+2*E22+F22+I20</f>
        <v>-299.9999842872527</v>
      </c>
    </row>
    <row r="21" spans="2:6" ht="12.75">
      <c r="B21" s="3">
        <f>IF(B20&lt;-$I$6,-$E$12,IF(B20&gt;$I$6,$E$12,B20*$E$10))</f>
        <v>373.9</v>
      </c>
      <c r="C21" s="3">
        <f>IF(C20&lt;-$I$6,-$E$12,IF(C20&gt;$I$6,$E$12,C20*$E$10))</f>
        <v>353.7388666692498</v>
      </c>
      <c r="D21" s="3">
        <f>IF(D20&lt;-$I$6,-$E$12,IF(D20&gt;$I$6,$E$12,D20*$E$10))</f>
        <v>-6.086493653444838</v>
      </c>
      <c r="E21" s="3">
        <f>IF(E20&lt;-$I$6,-$E$12,IF(E20&gt;$I$6,$E$12,E20*$E$10))</f>
        <v>-365.91185397613947</v>
      </c>
      <c r="F21" s="3">
        <f>IF(F20&lt;-$I$6,-$E$12,IF(F20&gt;$I$6,$E$12,F20*$E$10))</f>
        <v>-373.9</v>
      </c>
    </row>
    <row r="22" spans="2:6" ht="12.75">
      <c r="B22" s="5">
        <f>B21*$B$7/10</f>
        <v>57.58059999999999</v>
      </c>
      <c r="C22" s="5">
        <f>C21*$B$7/10</f>
        <v>54.47578546706446</v>
      </c>
      <c r="D22" s="5">
        <f>D21*$B$7/10</f>
        <v>-0.937320022630505</v>
      </c>
      <c r="E22" s="5">
        <f>E21*$B$7/10</f>
        <v>-56.35042551232548</v>
      </c>
      <c r="F22" s="5">
        <f>F21*$B$7/10</f>
        <v>-57.58059999999999</v>
      </c>
    </row>
    <row r="24" spans="1:2" ht="12.75">
      <c r="A24" s="2" t="s">
        <v>174</v>
      </c>
      <c r="B24" s="5">
        <f>(I20*J20+B22*B8+2*C22*B9+2*D22*B10+2*E22*B11+F22*B12)/100</f>
        <v>53.33108274248087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2" customWidth="1"/>
  </cols>
  <sheetData>
    <row r="1" ht="12.75">
      <c r="A1" s="18" t="s">
        <v>175</v>
      </c>
    </row>
    <row r="2" ht="12.75">
      <c r="A2" s="18" t="s">
        <v>158</v>
      </c>
    </row>
    <row r="4" spans="1:9" ht="12.75">
      <c r="A4" s="2" t="s">
        <v>13</v>
      </c>
      <c r="B4" s="2">
        <v>30</v>
      </c>
      <c r="D4" s="2" t="s">
        <v>136</v>
      </c>
      <c r="E4" s="2">
        <v>25</v>
      </c>
      <c r="F4" s="9" t="s">
        <v>17</v>
      </c>
      <c r="G4"/>
      <c r="H4" s="15" t="s">
        <v>145</v>
      </c>
      <c r="I4" s="2">
        <f>-0.0035</f>
        <v>-0.0035</v>
      </c>
    </row>
    <row r="5" spans="1:9" ht="12.75">
      <c r="A5" s="2" t="s">
        <v>73</v>
      </c>
      <c r="B5" s="2">
        <f>B4/2</f>
        <v>15</v>
      </c>
      <c r="D5" s="15" t="s">
        <v>137</v>
      </c>
      <c r="E5" s="2">
        <v>1.6</v>
      </c>
      <c r="G5"/>
      <c r="H5" s="15" t="s">
        <v>156</v>
      </c>
      <c r="I5" s="6">
        <v>-0.002</v>
      </c>
    </row>
    <row r="6" spans="1:9" ht="12.75">
      <c r="A6" s="2" t="s">
        <v>8</v>
      </c>
      <c r="B6" s="2">
        <v>4</v>
      </c>
      <c r="D6" s="15" t="s">
        <v>138</v>
      </c>
      <c r="E6" s="5">
        <f>ROUND(0.85*0.83*E4/E5,2)</f>
        <v>11.02</v>
      </c>
      <c r="F6" s="9" t="s">
        <v>17</v>
      </c>
      <c r="G6"/>
      <c r="H6" s="15" t="s">
        <v>146</v>
      </c>
      <c r="I6" s="2">
        <f>E12/E10</f>
        <v>0.0018694999999999999</v>
      </c>
    </row>
    <row r="7" spans="1:9" ht="12.75">
      <c r="A7" s="2" t="s">
        <v>162</v>
      </c>
      <c r="B7" s="2">
        <v>1.54</v>
      </c>
      <c r="D7"/>
      <c r="E7"/>
      <c r="F7"/>
      <c r="G7"/>
      <c r="H7"/>
      <c r="I7"/>
    </row>
    <row r="8" spans="1:9" ht="12.75">
      <c r="A8" s="2" t="s">
        <v>163</v>
      </c>
      <c r="B8" s="5">
        <f>B5-B6</f>
        <v>11</v>
      </c>
      <c r="D8" s="2" t="s">
        <v>139</v>
      </c>
      <c r="E8"/>
      <c r="F8"/>
      <c r="G8"/>
      <c r="H8"/>
      <c r="I8"/>
    </row>
    <row r="9" spans="1:9" ht="12.75">
      <c r="A9" s="2" t="s">
        <v>164</v>
      </c>
      <c r="B9" s="5">
        <f>B8*SQRT(0.5)</f>
        <v>7.778174593052023</v>
      </c>
      <c r="D9" s="2" t="s">
        <v>142</v>
      </c>
      <c r="E9" s="2">
        <v>430</v>
      </c>
      <c r="F9" s="9" t="s">
        <v>17</v>
      </c>
      <c r="G9"/>
      <c r="H9"/>
      <c r="I9"/>
    </row>
    <row r="10" spans="1:9" ht="12.75">
      <c r="A10" s="2" t="s">
        <v>165</v>
      </c>
      <c r="B10" s="5">
        <v>0</v>
      </c>
      <c r="D10" s="2" t="s">
        <v>16</v>
      </c>
      <c r="E10" s="2">
        <v>200000</v>
      </c>
      <c r="F10" s="9" t="s">
        <v>17</v>
      </c>
      <c r="G10"/>
      <c r="H10"/>
      <c r="I10"/>
    </row>
    <row r="11" spans="1:9" ht="12.75">
      <c r="A11" s="2" t="s">
        <v>166</v>
      </c>
      <c r="B11" s="5">
        <f>-B9</f>
        <v>-7.778174593052023</v>
      </c>
      <c r="D11" s="15" t="s">
        <v>141</v>
      </c>
      <c r="E11" s="2">
        <v>1.15</v>
      </c>
      <c r="F11"/>
      <c r="G11"/>
      <c r="H11"/>
      <c r="I11" s="2" t="s">
        <v>148</v>
      </c>
    </row>
    <row r="12" spans="1:9" ht="12.75">
      <c r="A12" s="2" t="s">
        <v>167</v>
      </c>
      <c r="B12" s="5">
        <f>-B8</f>
        <v>-11</v>
      </c>
      <c r="D12" s="2" t="s">
        <v>140</v>
      </c>
      <c r="E12" s="3">
        <f>ROUND(E9/E11,1)</f>
        <v>373.9</v>
      </c>
      <c r="F12" s="9" t="s">
        <v>17</v>
      </c>
      <c r="G12"/>
      <c r="H12"/>
      <c r="I12" s="5">
        <f>E14-K20</f>
        <v>-0.00022499687111121602</v>
      </c>
    </row>
    <row r="14" spans="1:5" ht="12.75">
      <c r="A14" s="2" t="s">
        <v>160</v>
      </c>
      <c r="B14" s="2">
        <v>18</v>
      </c>
      <c r="D14" s="2" t="s">
        <v>161</v>
      </c>
      <c r="E14" s="2">
        <v>-1100</v>
      </c>
    </row>
    <row r="16" spans="1:11" ht="12.75">
      <c r="A16" s="15" t="s">
        <v>155</v>
      </c>
      <c r="B16" s="29" t="s">
        <v>169</v>
      </c>
      <c r="C16" s="29" t="s">
        <v>170</v>
      </c>
      <c r="D16" s="29" t="s">
        <v>171</v>
      </c>
      <c r="E16" s="29" t="s">
        <v>172</v>
      </c>
      <c r="F16" s="29" t="s">
        <v>173</v>
      </c>
      <c r="G16" s="2" t="s">
        <v>91</v>
      </c>
      <c r="H16" s="15" t="s">
        <v>168</v>
      </c>
      <c r="I16" s="2" t="s">
        <v>131</v>
      </c>
      <c r="J16" s="2" t="s">
        <v>82</v>
      </c>
      <c r="K16" s="2" t="s">
        <v>35</v>
      </c>
    </row>
    <row r="17" spans="1:11" ht="12.75">
      <c r="A17" s="2">
        <v>0</v>
      </c>
      <c r="B17" s="8">
        <f>(($B$5-$B$8)/(8/7*$B$5)*(1-A17)+A17)*$I$5</f>
        <v>-0.00046666666666666666</v>
      </c>
      <c r="C17" s="8">
        <f>(($B$5-$B$9)/(8/7*$B$5)*(1-A17)+A17)*$I$5</f>
        <v>-0.000842546297477264</v>
      </c>
      <c r="D17" s="8">
        <f>(($B$5-$B$10)/(8/7*$B$5)*(1-A17)+A17)*$I$5</f>
        <v>-0.00175</v>
      </c>
      <c r="E17" s="8">
        <f>(($B$5-$B$11)/(8/7*$B$5)*(1-A17)+A17)*$I$5</f>
        <v>-0.002657453702522736</v>
      </c>
      <c r="F17" s="8">
        <f>(($B$5-$B$12)/(8/7*$B$5)*(1-A17)+A17)*$I$5</f>
        <v>-0.003033333333333333</v>
      </c>
      <c r="G17" s="2">
        <f>(1-0.2*(1-A17)^2)*2*$B$5</f>
        <v>24</v>
      </c>
      <c r="H17" s="6">
        <f>ACOS(1-G17/$B$5)</f>
        <v>2.214297435588181</v>
      </c>
      <c r="I17" s="5">
        <f>-($B$5^2/2*(2*H17-SIN(2*H17))*$E$6/10)</f>
        <v>-668.0510491540895</v>
      </c>
      <c r="J17" s="5">
        <f>-4/3*SIN(H17)^3/(2*H17-SIN(2*H17))*$B$5</f>
        <v>-1.900309866450315</v>
      </c>
      <c r="K17" s="5">
        <f>B19+2*C19+2*D19+2*E19+F19+I17</f>
        <v>-1014.8670344120222</v>
      </c>
    </row>
    <row r="18" spans="2:6" ht="12.75">
      <c r="B18" s="3">
        <f>IF(B17&lt;-$I$6,-$E$12,IF(B17&gt;$I$6,$E$12,B17*$E$10))</f>
        <v>-93.33333333333333</v>
      </c>
      <c r="C18" s="3">
        <f>IF(C17&lt;-$I$6,-$E$12,IF(C17&gt;$I$6,$E$12,C17*$E$10))</f>
        <v>-168.5092594954528</v>
      </c>
      <c r="D18" s="3">
        <f>IF(D17&lt;-$I$6,-$E$12,IF(D17&gt;$I$6,$E$12,D17*$E$10))</f>
        <v>-350</v>
      </c>
      <c r="E18" s="3">
        <f>IF(E17&lt;-$I$6,-$E$12,IF(E17&gt;$I$6,$E$12,E17*$E$10))</f>
        <v>-373.9</v>
      </c>
      <c r="F18" s="3">
        <f>IF(F17&lt;-$I$6,-$E$12,IF(F17&gt;$I$6,$E$12,F17*$E$10))</f>
        <v>-373.9</v>
      </c>
    </row>
    <row r="19" spans="2:6" ht="12.75">
      <c r="B19" s="5">
        <f>B18*$B$7/10</f>
        <v>-14.373333333333331</v>
      </c>
      <c r="C19" s="5">
        <f>C18*$B$7/10</f>
        <v>-25.950425962299732</v>
      </c>
      <c r="D19" s="5">
        <f>D18*$B$7/10</f>
        <v>-53.9</v>
      </c>
      <c r="E19" s="5">
        <f>E18*$B$7/10</f>
        <v>-57.58059999999999</v>
      </c>
      <c r="F19" s="5">
        <f>F18*$B$7/10</f>
        <v>-57.58059999999999</v>
      </c>
    </row>
    <row r="20" spans="1:11" ht="12.75">
      <c r="A20" s="6">
        <v>0.216428632013059</v>
      </c>
      <c r="B20" s="8">
        <f>(($B$5-$B$8)/(8/7*$B$5)*(1-A20)+A20)*$I$5</f>
        <v>-0.0007985239024200238</v>
      </c>
      <c r="C20" s="8">
        <f>(($B$5-$B$9)/(8/7*$B$5)*(1-A20)+A20)*$I$5</f>
        <v>-0.0010930524189327099</v>
      </c>
      <c r="D20" s="8">
        <f>(($B$5-$B$10)/(8/7*$B$5)*(1-A20)+A20)*$I$5</f>
        <v>-0.0018041071580032649</v>
      </c>
      <c r="E20" s="8">
        <f>(($B$5-$B$11)/(8/7*$B$5)*(1-A20)+A20)*$I$5</f>
        <v>-0.00251516189707382</v>
      </c>
      <c r="F20" s="8">
        <f>(($B$5-$B$12)/(8/7*$B$5)*(1-A20)+A20)*$I$5</f>
        <v>-0.002809690413586506</v>
      </c>
      <c r="G20" s="7">
        <f>(1-0.2*(1-A20)^2)*2*$B$5</f>
        <v>26.316095467626443</v>
      </c>
      <c r="H20" s="6">
        <f>ACOS(1-G20/$B$5)</f>
        <v>2.425545605565844</v>
      </c>
      <c r="I20" s="5">
        <f>-($B$5^2/2*(2*H20-SIN(2*H20))*$E$6/10)</f>
        <v>-724.1984088693363</v>
      </c>
      <c r="J20" s="5">
        <f>-4/3*SIN(H20)^3/(2*H20-SIN(2*H20))*$B$5</f>
        <v>-0.9683391695777211</v>
      </c>
      <c r="K20" s="5">
        <f>B22+2*C22+2*D22+2*E22+F22+I20</f>
        <v>-1099.999775003129</v>
      </c>
    </row>
    <row r="21" spans="2:6" ht="12.75">
      <c r="B21" s="3">
        <f>IF(B20&lt;-$I$6,-$E$12,IF(B20&gt;$I$6,$E$12,B20*$E$10))</f>
        <v>-159.70478048400474</v>
      </c>
      <c r="C21" s="3">
        <f>IF(C20&lt;-$I$6,-$E$12,IF(C20&gt;$I$6,$E$12,C20*$E$10))</f>
        <v>-218.61048378654198</v>
      </c>
      <c r="D21" s="3">
        <f>IF(D20&lt;-$I$6,-$E$12,IF(D20&gt;$I$6,$E$12,D20*$E$10))</f>
        <v>-360.821431600653</v>
      </c>
      <c r="E21" s="3">
        <f>IF(E20&lt;-$I$6,-$E$12,IF(E20&gt;$I$6,$E$12,E20*$E$10))</f>
        <v>-373.9</v>
      </c>
      <c r="F21" s="3">
        <f>IF(F20&lt;-$I$6,-$E$12,IF(F20&gt;$I$6,$E$12,F20*$E$10))</f>
        <v>-373.9</v>
      </c>
    </row>
    <row r="22" spans="2:6" ht="12.75">
      <c r="B22" s="5">
        <f>B21*$B$7/10</f>
        <v>-24.594536194536733</v>
      </c>
      <c r="C22" s="5">
        <f>C21*$B$7/10</f>
        <v>-33.666014503127464</v>
      </c>
      <c r="D22" s="5">
        <f>D21*$B$7/10</f>
        <v>-55.566500466500564</v>
      </c>
      <c r="E22" s="5">
        <f>E21*$B$7/10</f>
        <v>-57.58059999999999</v>
      </c>
      <c r="F22" s="5">
        <f>F21*$B$7/10</f>
        <v>-57.58059999999999</v>
      </c>
    </row>
    <row r="24" spans="1:2" ht="12.75">
      <c r="A24" s="2" t="s">
        <v>174</v>
      </c>
      <c r="B24" s="5">
        <f>(I20*J20+B22*B8+2*C22*B9+2*D22*B10+2*E22*B11+F22*B12)/100</f>
        <v>14.361400303444245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pane ySplit="12" topLeftCell="BM13" activePane="bottomLeft" state="frozen"/>
      <selection pane="topLeft" activeCell="A1" sqref="A1"/>
      <selection pane="bottomLeft" activeCell="A3" sqref="A3"/>
    </sheetView>
  </sheetViews>
  <sheetFormatPr defaultColWidth="9.140625" defaultRowHeight="12.75"/>
  <sheetData>
    <row r="1" spans="1:7" ht="12.75">
      <c r="A1" s="1" t="s">
        <v>176</v>
      </c>
      <c r="B1" s="2"/>
      <c r="C1" s="2"/>
      <c r="D1" s="2"/>
      <c r="E1" s="2"/>
      <c r="F1" s="2"/>
      <c r="G1" s="2"/>
    </row>
    <row r="2" spans="1:7" ht="12.75">
      <c r="A2" s="1" t="s">
        <v>124</v>
      </c>
      <c r="B2" s="2"/>
      <c r="C2" s="2"/>
      <c r="D2" s="2"/>
      <c r="E2" s="2"/>
      <c r="F2" s="2"/>
      <c r="G2" s="2"/>
    </row>
    <row r="3" spans="1:4" ht="12.75">
      <c r="A3" s="2"/>
      <c r="B3" s="2" t="s">
        <v>51</v>
      </c>
      <c r="C3" s="2" t="s">
        <v>52</v>
      </c>
      <c r="D3" s="2"/>
    </row>
    <row r="4" spans="1:10" ht="12.75">
      <c r="A4" s="2" t="s">
        <v>2</v>
      </c>
      <c r="B4" s="2">
        <v>30</v>
      </c>
      <c r="C4" s="2">
        <f>B4/100</f>
        <v>0.3</v>
      </c>
      <c r="D4" s="2"/>
      <c r="E4" s="2" t="s">
        <v>136</v>
      </c>
      <c r="F4" s="2">
        <v>25</v>
      </c>
      <c r="G4" s="9" t="s">
        <v>17</v>
      </c>
      <c r="I4" s="15" t="s">
        <v>145</v>
      </c>
      <c r="J4" s="2">
        <f>-0.0035</f>
        <v>-0.0035</v>
      </c>
    </row>
    <row r="5" spans="1:10" ht="12.75">
      <c r="A5" s="2" t="s">
        <v>6</v>
      </c>
      <c r="B5" s="2">
        <v>60</v>
      </c>
      <c r="C5" s="2">
        <f>B5/100</f>
        <v>0.6</v>
      </c>
      <c r="D5" s="2"/>
      <c r="E5" s="15" t="s">
        <v>137</v>
      </c>
      <c r="F5" s="2">
        <v>1.6</v>
      </c>
      <c r="G5" s="2"/>
      <c r="I5" s="15" t="s">
        <v>156</v>
      </c>
      <c r="J5" s="6">
        <v>-0.002</v>
      </c>
    </row>
    <row r="6" spans="1:10" ht="12.75">
      <c r="A6" s="2" t="s">
        <v>8</v>
      </c>
      <c r="B6" s="2">
        <v>4</v>
      </c>
      <c r="C6" s="2">
        <f>B6/100</f>
        <v>0.04</v>
      </c>
      <c r="D6" s="2"/>
      <c r="E6" s="15" t="s">
        <v>138</v>
      </c>
      <c r="F6" s="5">
        <f>ROUND(0.85*0.83*F4/F5,2)</f>
        <v>11.02</v>
      </c>
      <c r="G6" s="9" t="s">
        <v>17</v>
      </c>
      <c r="I6" s="15" t="s">
        <v>146</v>
      </c>
      <c r="J6" s="2">
        <f>F12/F10</f>
        <v>0.0018694999999999999</v>
      </c>
    </row>
    <row r="7" spans="1:5" ht="12.75">
      <c r="A7" s="2" t="s">
        <v>13</v>
      </c>
      <c r="B7" s="2">
        <f>B5-B6</f>
        <v>56</v>
      </c>
      <c r="C7" s="2">
        <f>B7/100</f>
        <v>0.56</v>
      </c>
      <c r="E7" s="2"/>
    </row>
    <row r="8" spans="1:10" ht="12.75">
      <c r="A8" s="2" t="s">
        <v>21</v>
      </c>
      <c r="B8" s="2">
        <v>15</v>
      </c>
      <c r="C8" s="2"/>
      <c r="D8" s="2"/>
      <c r="E8" s="2" t="s">
        <v>139</v>
      </c>
      <c r="I8" s="2"/>
      <c r="J8" s="2" t="s">
        <v>74</v>
      </c>
    </row>
    <row r="9" spans="1:10" ht="12.75">
      <c r="A9" s="2" t="s">
        <v>10</v>
      </c>
      <c r="B9" s="2">
        <v>10</v>
      </c>
      <c r="C9" s="2">
        <f>B9/10000</f>
        <v>0.001</v>
      </c>
      <c r="D9" s="2"/>
      <c r="E9" s="2" t="s">
        <v>142</v>
      </c>
      <c r="F9" s="2">
        <v>430</v>
      </c>
      <c r="G9" s="9" t="s">
        <v>17</v>
      </c>
      <c r="I9" s="2" t="s">
        <v>177</v>
      </c>
      <c r="J9" s="7">
        <f>J4/(J4-J6)*B6</f>
        <v>2.6073191172362415</v>
      </c>
    </row>
    <row r="10" spans="1:10" ht="12.75">
      <c r="A10" s="2" t="s">
        <v>12</v>
      </c>
      <c r="B10" s="2">
        <v>6</v>
      </c>
      <c r="C10" s="2">
        <f>B10/10000</f>
        <v>0.0006</v>
      </c>
      <c r="D10" s="2"/>
      <c r="E10" s="2" t="s">
        <v>16</v>
      </c>
      <c r="F10" s="2">
        <v>200000</v>
      </c>
      <c r="G10" s="9" t="s">
        <v>17</v>
      </c>
      <c r="I10" s="2" t="s">
        <v>178</v>
      </c>
      <c r="J10" s="7">
        <f>J4/(J4+J6)*B6</f>
        <v>8.586323213738115</v>
      </c>
    </row>
    <row r="11" spans="3:10" ht="12.75">
      <c r="C11" s="2"/>
      <c r="D11" s="2"/>
      <c r="E11" s="15" t="s">
        <v>141</v>
      </c>
      <c r="F11" s="2">
        <v>1.15</v>
      </c>
      <c r="I11" s="2" t="s">
        <v>179</v>
      </c>
      <c r="J11" s="7">
        <f>J4/(J4-J6)*B7</f>
        <v>36.50246764130738</v>
      </c>
    </row>
    <row r="12" spans="3:7" ht="12.75">
      <c r="C12" s="2"/>
      <c r="D12" s="2"/>
      <c r="E12" s="2" t="s">
        <v>140</v>
      </c>
      <c r="F12" s="3">
        <f>ROUND(F9/F11,1)</f>
        <v>373.9</v>
      </c>
      <c r="G12" s="9" t="s">
        <v>17</v>
      </c>
    </row>
    <row r="13" spans="3:7" ht="12.75">
      <c r="C13" s="2"/>
      <c r="D13" s="2"/>
      <c r="E13" s="2"/>
      <c r="F13" s="3"/>
      <c r="G13" s="9"/>
    </row>
    <row r="14" spans="1:6" s="2" customFormat="1" ht="12.75">
      <c r="A14" s="2" t="s">
        <v>107</v>
      </c>
      <c r="F14" s="3"/>
    </row>
    <row r="15" spans="1:10" s="2" customFormat="1" ht="12.75">
      <c r="A15" s="2" t="s">
        <v>180</v>
      </c>
      <c r="B15" s="2" t="s">
        <v>74</v>
      </c>
      <c r="C15" s="15" t="s">
        <v>143</v>
      </c>
      <c r="D15" s="15" t="s">
        <v>144</v>
      </c>
      <c r="E15" s="15" t="s">
        <v>122</v>
      </c>
      <c r="F15" s="15" t="s">
        <v>112</v>
      </c>
      <c r="G15" s="15" t="s">
        <v>2</v>
      </c>
      <c r="H15" s="2" t="s">
        <v>149</v>
      </c>
      <c r="I15" s="2" t="s">
        <v>35</v>
      </c>
      <c r="J15" s="2" t="s">
        <v>23</v>
      </c>
    </row>
    <row r="16" spans="1:10" s="2" customFormat="1" ht="12.75">
      <c r="A16" s="2">
        <v>0</v>
      </c>
      <c r="B16" s="5">
        <f>$B$21*A16/$A$21</f>
        <v>0</v>
      </c>
      <c r="C16" s="2">
        <v>999</v>
      </c>
      <c r="D16" s="2">
        <v>999</v>
      </c>
      <c r="E16" s="2">
        <f aca="true" t="shared" si="0" ref="E16:F21">IF(C16&lt;-$J$6,-$F$12,IF(C16&gt;$J$6,$F$12,C16*$F$10))</f>
        <v>373.9</v>
      </c>
      <c r="F16" s="2">
        <f t="shared" si="0"/>
        <v>373.9</v>
      </c>
      <c r="G16" s="7">
        <f aca="true" t="shared" si="1" ref="G16:G21">17/21</f>
        <v>0.8095238095238095</v>
      </c>
      <c r="H16" s="7">
        <f aca="true" t="shared" si="2" ref="H16:H21">99/238</f>
        <v>0.41596638655462187</v>
      </c>
      <c r="I16" s="5">
        <f aca="true" t="shared" si="3" ref="I16:I21">(-G16*$B$4*B16*$F$6+$B$9*E16+$B$10*F16)/10</f>
        <v>598.24</v>
      </c>
      <c r="J16" s="5">
        <f aca="true" t="shared" si="4" ref="J16:J21">(G16*$B$4*B16*$F$6*($B$5/2-H16*B16)+($B$9*E16-$B$10*F16)*($B$5/2-$B$6))/1000</f>
        <v>38.885600000000004</v>
      </c>
    </row>
    <row r="17" spans="1:10" s="2" customFormat="1" ht="12.75">
      <c r="A17" s="2">
        <v>1</v>
      </c>
      <c r="B17" s="5">
        <f>$B$21*A17/$A$21</f>
        <v>0.5214638234472483</v>
      </c>
      <c r="C17" s="8">
        <f>-($B$7-B17)/B17*$J$4</f>
        <v>0.37236500000000006</v>
      </c>
      <c r="D17" s="8">
        <f>(B17-$B$6)/B17*$J$4</f>
        <v>0.023347500000000004</v>
      </c>
      <c r="E17" s="2">
        <f t="shared" si="0"/>
        <v>373.9</v>
      </c>
      <c r="F17" s="2">
        <f t="shared" si="0"/>
        <v>373.9</v>
      </c>
      <c r="G17" s="7">
        <f t="shared" si="1"/>
        <v>0.8095238095238095</v>
      </c>
      <c r="H17" s="7">
        <f t="shared" si="2"/>
        <v>0.41596638655462187</v>
      </c>
      <c r="I17" s="5">
        <f t="shared" si="3"/>
        <v>584.2841381879132</v>
      </c>
      <c r="J17" s="5">
        <f t="shared" si="4"/>
        <v>43.04208668526708</v>
      </c>
    </row>
    <row r="18" spans="1:10" s="2" customFormat="1" ht="12.75">
      <c r="A18" s="2">
        <v>2</v>
      </c>
      <c r="B18" s="5">
        <f>$B$21*A18/$A$21</f>
        <v>1.0429276468944966</v>
      </c>
      <c r="C18" s="8">
        <f>-($B$7-B18)/B18*$J$4</f>
        <v>0.18443250000000003</v>
      </c>
      <c r="D18" s="8">
        <f>(B18-$B$6)/B18*$J$4</f>
        <v>0.009923750000000002</v>
      </c>
      <c r="E18" s="2">
        <f t="shared" si="0"/>
        <v>373.9</v>
      </c>
      <c r="F18" s="2">
        <f t="shared" si="0"/>
        <v>373.9</v>
      </c>
      <c r="G18" s="7">
        <f t="shared" si="1"/>
        <v>0.8095238095238095</v>
      </c>
      <c r="H18" s="7">
        <f t="shared" si="2"/>
        <v>0.41596638655462187</v>
      </c>
      <c r="I18" s="5">
        <f t="shared" si="3"/>
        <v>570.3282763758264</v>
      </c>
      <c r="J18" s="5">
        <f t="shared" si="4"/>
        <v>47.13802965381625</v>
      </c>
    </row>
    <row r="19" spans="1:10" s="2" customFormat="1" ht="12.75">
      <c r="A19" s="2">
        <v>3</v>
      </c>
      <c r="B19" s="5">
        <f>$B$21*A19/$A$21</f>
        <v>1.564391470341745</v>
      </c>
      <c r="C19" s="8">
        <f>-($B$7-B19)/B19*$J$4</f>
        <v>0.12178833333333333</v>
      </c>
      <c r="D19" s="8">
        <f>(B19-$B$6)/B19*$J$4</f>
        <v>0.005449166666666668</v>
      </c>
      <c r="E19" s="2">
        <f t="shared" si="0"/>
        <v>373.9</v>
      </c>
      <c r="F19" s="2">
        <f t="shared" si="0"/>
        <v>373.9</v>
      </c>
      <c r="G19" s="7">
        <f t="shared" si="1"/>
        <v>0.8095238095238095</v>
      </c>
      <c r="H19" s="7">
        <f t="shared" si="2"/>
        <v>0.41596638655462187</v>
      </c>
      <c r="I19" s="5">
        <f t="shared" si="3"/>
        <v>556.3724145637395</v>
      </c>
      <c r="J19" s="5">
        <f t="shared" si="4"/>
        <v>51.1734289056475</v>
      </c>
    </row>
    <row r="20" spans="1:10" s="2" customFormat="1" ht="12.75">
      <c r="A20" s="2">
        <v>4</v>
      </c>
      <c r="B20" s="5">
        <f>$B$21*A20/$A$21</f>
        <v>2.085855293788993</v>
      </c>
      <c r="C20" s="8">
        <f>-($B$7-B20)/B20*$J$4</f>
        <v>0.09046625000000001</v>
      </c>
      <c r="D20" s="8">
        <f>(B20-$B$6)/B20*$J$4</f>
        <v>0.0032118750000000008</v>
      </c>
      <c r="E20" s="2">
        <f t="shared" si="0"/>
        <v>373.9</v>
      </c>
      <c r="F20" s="2">
        <f t="shared" si="0"/>
        <v>373.9</v>
      </c>
      <c r="G20" s="7">
        <f t="shared" si="1"/>
        <v>0.8095238095238095</v>
      </c>
      <c r="H20" s="7">
        <f t="shared" si="2"/>
        <v>0.41596638655462187</v>
      </c>
      <c r="I20" s="5">
        <f t="shared" si="3"/>
        <v>542.4165527516528</v>
      </c>
      <c r="J20" s="5">
        <f t="shared" si="4"/>
        <v>55.148284440760825</v>
      </c>
    </row>
    <row r="21" spans="1:10" s="2" customFormat="1" ht="12.75">
      <c r="A21" s="2">
        <v>5</v>
      </c>
      <c r="B21" s="5">
        <f>J9</f>
        <v>2.6073191172362415</v>
      </c>
      <c r="C21" s="8">
        <f>-($B$7-B21)/B21*$J$4</f>
        <v>0.071673</v>
      </c>
      <c r="D21" s="8">
        <f>(B21-$B$6)/B21*$J$4</f>
        <v>0.0018695000000000005</v>
      </c>
      <c r="E21" s="2">
        <f t="shared" si="0"/>
        <v>373.9</v>
      </c>
      <c r="F21" s="2">
        <f t="shared" si="0"/>
        <v>373.9000000000001</v>
      </c>
      <c r="G21" s="7">
        <f t="shared" si="1"/>
        <v>0.8095238095238095</v>
      </c>
      <c r="H21" s="7">
        <f t="shared" si="2"/>
        <v>0.41596638655462187</v>
      </c>
      <c r="I21" s="5">
        <f t="shared" si="3"/>
        <v>528.4606909395661</v>
      </c>
      <c r="J21" s="5">
        <f t="shared" si="4"/>
        <v>59.06259625915622</v>
      </c>
    </row>
    <row r="23" ht="12.75">
      <c r="A23" s="2" t="s">
        <v>181</v>
      </c>
    </row>
    <row r="24" spans="1:10" ht="12.75">
      <c r="A24" s="2">
        <v>0</v>
      </c>
      <c r="B24" s="5">
        <f>$B$21+($B$29-$B$21)*A24/$A$29</f>
        <v>2.6073191172362415</v>
      </c>
      <c r="C24" s="8">
        <f aca="true" t="shared" si="5" ref="C24:C29">-($B$7-B24)/B24*$J$4</f>
        <v>0.071673</v>
      </c>
      <c r="D24" s="8">
        <f aca="true" t="shared" si="6" ref="D24:D29">(B24-$B$6)/B24*$J$4</f>
        <v>0.0018695000000000005</v>
      </c>
      <c r="E24" s="2">
        <f aca="true" t="shared" si="7" ref="E24:F29">IF(C24&lt;-$J$6,-$F$12,IF(C24&gt;$J$6,$F$12,C24*$F$10))</f>
        <v>373.9</v>
      </c>
      <c r="F24" s="3">
        <f t="shared" si="7"/>
        <v>373.9000000000001</v>
      </c>
      <c r="G24" s="7">
        <f aca="true" t="shared" si="8" ref="G24:G29">17/21</f>
        <v>0.8095238095238095</v>
      </c>
      <c r="H24" s="7">
        <f aca="true" t="shared" si="9" ref="H24:H29">99/238</f>
        <v>0.41596638655462187</v>
      </c>
      <c r="I24" s="5">
        <f aca="true" t="shared" si="10" ref="I24:I29">(-G24*$B$4*B24*$F$6+$B$9*E24+$B$10*F24)/10</f>
        <v>528.4606909395661</v>
      </c>
      <c r="J24" s="5">
        <f aca="true" t="shared" si="11" ref="J24:J29">(G24*$B$4*B24*$F$6*($B$5/2-H24*B24)+($B$9*E24-$B$10*F24)*($B$5/2-$B$6))/1000</f>
        <v>59.06259625915622</v>
      </c>
    </row>
    <row r="25" spans="1:10" ht="12.75">
      <c r="A25" s="2">
        <v>1</v>
      </c>
      <c r="B25" s="5">
        <f>$B$21+($B$29-$B$21)*A25/$A$29</f>
        <v>3.8031199365366164</v>
      </c>
      <c r="C25" s="8">
        <f t="shared" si="5"/>
        <v>0.0480366339402094</v>
      </c>
      <c r="D25" s="8">
        <f t="shared" si="6"/>
        <v>0.00018118813858638565</v>
      </c>
      <c r="E25" s="2">
        <f t="shared" si="7"/>
        <v>373.9</v>
      </c>
      <c r="F25" s="3">
        <f t="shared" si="7"/>
        <v>36.23762771727713</v>
      </c>
      <c r="G25" s="7">
        <f t="shared" si="8"/>
        <v>0.8095238095238095</v>
      </c>
      <c r="H25" s="7">
        <f t="shared" si="9"/>
        <v>0.41596638655462187</v>
      </c>
      <c r="I25" s="5">
        <f t="shared" si="10"/>
        <v>293.8602210716849</v>
      </c>
      <c r="J25" s="5">
        <f t="shared" si="11"/>
        <v>120.48547035481526</v>
      </c>
    </row>
    <row r="26" spans="1:10" ht="12.75">
      <c r="A26" s="2">
        <v>2</v>
      </c>
      <c r="B26" s="5">
        <f>$B$21+($B$29-$B$21)*A26/$A$29</f>
        <v>4.998920755836991</v>
      </c>
      <c r="C26" s="8">
        <f t="shared" si="5"/>
        <v>0.035708463100988456</v>
      </c>
      <c r="D26" s="8">
        <f t="shared" si="6"/>
        <v>-0.0006993954927865388</v>
      </c>
      <c r="E26" s="2">
        <f t="shared" si="7"/>
        <v>373.9</v>
      </c>
      <c r="F26" s="3">
        <f t="shared" si="7"/>
        <v>-139.87909855730777</v>
      </c>
      <c r="G26" s="7">
        <f t="shared" si="8"/>
        <v>0.8095238095238095</v>
      </c>
      <c r="H26" s="7">
        <f t="shared" si="9"/>
        <v>0.41596638655462187</v>
      </c>
      <c r="I26" s="5">
        <f t="shared" si="10"/>
        <v>156.18713880868648</v>
      </c>
      <c r="J26" s="5">
        <f t="shared" si="11"/>
        <v>156.38884908051162</v>
      </c>
    </row>
    <row r="27" spans="1:10" ht="12.75">
      <c r="A27" s="2">
        <v>3</v>
      </c>
      <c r="B27" s="5">
        <f>$B$21+($B$29-$B$21)*A27/$A$29</f>
        <v>6.194721575137366</v>
      </c>
      <c r="C27" s="8">
        <f t="shared" si="5"/>
        <v>0.028139840083636652</v>
      </c>
      <c r="D27" s="8">
        <f t="shared" si="6"/>
        <v>-0.001240011422597382</v>
      </c>
      <c r="E27" s="2">
        <f t="shared" si="7"/>
        <v>373.9</v>
      </c>
      <c r="F27" s="3">
        <f t="shared" si="7"/>
        <v>-248.0022845194764</v>
      </c>
      <c r="G27" s="7">
        <f t="shared" si="8"/>
        <v>0.8095238095238095</v>
      </c>
      <c r="H27" s="7">
        <f t="shared" si="9"/>
        <v>0.41596638655462187</v>
      </c>
      <c r="I27" s="5">
        <f t="shared" si="10"/>
        <v>59.3101807331379</v>
      </c>
      <c r="J27" s="5">
        <f t="shared" si="11"/>
        <v>181.36686092477788</v>
      </c>
    </row>
    <row r="28" spans="1:10" ht="12.75">
      <c r="A28" s="2">
        <v>4</v>
      </c>
      <c r="B28" s="5">
        <f>$B$21+($B$29-$B$21)*A28/$A$29</f>
        <v>7.390522394437741</v>
      </c>
      <c r="C28" s="8">
        <f t="shared" si="5"/>
        <v>0.023020452755479592</v>
      </c>
      <c r="D28" s="8">
        <f t="shared" si="6"/>
        <v>-0.0016056819460371723</v>
      </c>
      <c r="E28" s="2">
        <f t="shared" si="7"/>
        <v>373.9</v>
      </c>
      <c r="F28" s="3">
        <f t="shared" si="7"/>
        <v>-321.13638920743443</v>
      </c>
      <c r="G28" s="7">
        <f t="shared" si="8"/>
        <v>0.8095238095238095</v>
      </c>
      <c r="H28" s="7">
        <f t="shared" si="9"/>
        <v>0.41596638655462187</v>
      </c>
      <c r="I28" s="5">
        <f t="shared" si="10"/>
        <v>-16.57332857788442</v>
      </c>
      <c r="J28" s="5">
        <f t="shared" si="11"/>
        <v>200.56820149757417</v>
      </c>
    </row>
    <row r="29" spans="1:10" ht="12.75">
      <c r="A29" s="2">
        <v>5</v>
      </c>
      <c r="B29" s="5">
        <f>J10</f>
        <v>8.586323213738115</v>
      </c>
      <c r="C29" s="8">
        <f t="shared" si="5"/>
        <v>0.019327000000000007</v>
      </c>
      <c r="D29" s="8">
        <f t="shared" si="6"/>
        <v>-0.0018694999999999996</v>
      </c>
      <c r="E29" s="2">
        <f t="shared" si="7"/>
        <v>373.9</v>
      </c>
      <c r="F29" s="3">
        <f t="shared" si="7"/>
        <v>-373.8999999999999</v>
      </c>
      <c r="G29" s="7">
        <f t="shared" si="8"/>
        <v>0.8095238095238095</v>
      </c>
      <c r="H29" s="7">
        <f t="shared" si="9"/>
        <v>0.41596638655462187</v>
      </c>
      <c r="I29" s="5">
        <f t="shared" si="10"/>
        <v>-80.23454155167119</v>
      </c>
      <c r="J29" s="5">
        <f t="shared" si="11"/>
        <v>216.27337042999602</v>
      </c>
    </row>
    <row r="31" ht="12.75">
      <c r="A31" s="2" t="s">
        <v>182</v>
      </c>
    </row>
    <row r="32" spans="1:10" ht="12.75">
      <c r="A32" s="2">
        <v>0</v>
      </c>
      <c r="B32" s="5">
        <f>$B$29+($B$42-$B$29)*A32/$A$42</f>
        <v>8.586323213738115</v>
      </c>
      <c r="C32" s="8">
        <f>-($B$7-B32)/B32*$J$4</f>
        <v>0.019327000000000007</v>
      </c>
      <c r="D32" s="8">
        <f>(B32-$B$6)/B32*$J$4</f>
        <v>-0.0018694999999999996</v>
      </c>
      <c r="E32" s="2">
        <f>IF(C32&lt;-$J$6,-$F$12,IF(C32&gt;$J$6,$F$12,C32*$F$10))</f>
        <v>373.9</v>
      </c>
      <c r="F32" s="3">
        <f>IF(D32&lt;-$J$6,-$F$12,IF(D32&gt;$J$6,$F$12,D32*$F$10))</f>
        <v>-373.8999999999999</v>
      </c>
      <c r="G32" s="7">
        <f aca="true" t="shared" si="12" ref="G32:G42">17/21</f>
        <v>0.8095238095238095</v>
      </c>
      <c r="H32" s="7">
        <f aca="true" t="shared" si="13" ref="H32:H42">99/238</f>
        <v>0.41596638655462187</v>
      </c>
      <c r="I32" s="5">
        <f>(-G32*$B$4*B32*$F$6+$B$9*E32+$B$10*F32)/10</f>
        <v>-80.23454155167119</v>
      </c>
      <c r="J32" s="5">
        <f>(G32*$B$4*B32*$F$6*($B$5/2-H32*B32)+($B$9*E32-$B$10*F32)*($B$5/2-$B$6))/1000</f>
        <v>216.27337042999602</v>
      </c>
    </row>
    <row r="33" spans="1:10" ht="12.75">
      <c r="A33" s="2">
        <v>1</v>
      </c>
      <c r="B33" s="5">
        <f aca="true" t="shared" si="14" ref="B33:B41">$B$29+($B$42-$B$29)*A33/$A$42</f>
        <v>11.377937656495043</v>
      </c>
      <c r="C33" s="8">
        <f aca="true" t="shared" si="15" ref="C33:C42">-($B$7-B33)/B33*$J$4</f>
        <v>0.013726320438494784</v>
      </c>
      <c r="D33" s="8">
        <f aca="true" t="shared" si="16" ref="D33:D42">(B33-$B$6)/B33*$J$4</f>
        <v>-0.0022695485401075157</v>
      </c>
      <c r="E33" s="2">
        <f aca="true" t="shared" si="17" ref="E33:E42">IF(C33&lt;-$J$6,-$F$12,IF(C33&gt;$J$6,$F$12,C33*$F$10))</f>
        <v>373.9</v>
      </c>
      <c r="F33" s="3">
        <f aca="true" t="shared" si="18" ref="F33:F42">IF(D33&lt;-$J$6,-$F$12,IF(D33&gt;$J$6,$F$12,D33*$F$10))</f>
        <v>-373.9</v>
      </c>
      <c r="G33" s="7">
        <f t="shared" si="12"/>
        <v>0.8095238095238095</v>
      </c>
      <c r="H33" s="7">
        <f t="shared" si="13"/>
        <v>0.41596638655462187</v>
      </c>
      <c r="I33" s="5">
        <f aca="true" t="shared" si="19" ref="I33:I42">(-G33*$B$4*B33*$F$6+$B$9*E33+$B$10*F33)/10</f>
        <v>-154.94612008111153</v>
      </c>
      <c r="J33" s="5">
        <f aca="true" t="shared" si="20" ref="J33:J42">(G33*$B$4*B33*$F$6*($B$5/2-H33*B33)+($B$9*E33-$B$10*F33)*($B$5/2-$B$6))/1000</f>
        <v>232.4824497478585</v>
      </c>
    </row>
    <row r="34" spans="1:10" ht="12.75">
      <c r="A34" s="2">
        <v>2</v>
      </c>
      <c r="B34" s="5">
        <f t="shared" si="14"/>
        <v>14.16955209925197</v>
      </c>
      <c r="C34" s="8">
        <f t="shared" si="15"/>
        <v>0.010332476752059587</v>
      </c>
      <c r="D34" s="8">
        <f t="shared" si="16"/>
        <v>-0.0025119659462814583</v>
      </c>
      <c r="E34" s="2">
        <f t="shared" si="17"/>
        <v>373.9</v>
      </c>
      <c r="F34" s="3">
        <f t="shared" si="18"/>
        <v>-373.9</v>
      </c>
      <c r="G34" s="7">
        <f t="shared" si="12"/>
        <v>0.8095238095238095</v>
      </c>
      <c r="H34" s="7">
        <f t="shared" si="13"/>
        <v>0.41596638655462187</v>
      </c>
      <c r="I34" s="5">
        <f t="shared" si="19"/>
        <v>-229.6576986105519</v>
      </c>
      <c r="J34" s="5">
        <f t="shared" si="20"/>
        <v>246.9564008098612</v>
      </c>
    </row>
    <row r="35" spans="1:10" ht="12.75">
      <c r="A35" s="2">
        <v>3</v>
      </c>
      <c r="B35" s="5">
        <f t="shared" si="14"/>
        <v>16.961166542008897</v>
      </c>
      <c r="C35" s="8">
        <f t="shared" si="15"/>
        <v>0.008055808942418743</v>
      </c>
      <c r="D35" s="8">
        <f t="shared" si="16"/>
        <v>-0.0026745850755415185</v>
      </c>
      <c r="E35" s="2">
        <f t="shared" si="17"/>
        <v>373.9</v>
      </c>
      <c r="F35" s="3">
        <f t="shared" si="18"/>
        <v>-373.9</v>
      </c>
      <c r="G35" s="7">
        <f t="shared" si="12"/>
        <v>0.8095238095238095</v>
      </c>
      <c r="H35" s="7">
        <f t="shared" si="13"/>
        <v>0.41596638655462187</v>
      </c>
      <c r="I35" s="5">
        <f t="shared" si="19"/>
        <v>-304.3692771399923</v>
      </c>
      <c r="J35" s="5">
        <f t="shared" si="20"/>
        <v>259.6952236160041</v>
      </c>
    </row>
    <row r="36" spans="1:10" ht="12.75">
      <c r="A36" s="2">
        <v>4</v>
      </c>
      <c r="B36" s="5">
        <f t="shared" si="14"/>
        <v>19.75278098476582</v>
      </c>
      <c r="C36" s="8">
        <f t="shared" si="15"/>
        <v>0.006422653430479662</v>
      </c>
      <c r="D36" s="8">
        <f t="shared" si="16"/>
        <v>-0.0027912390406800245</v>
      </c>
      <c r="E36" s="2">
        <f t="shared" si="17"/>
        <v>373.9</v>
      </c>
      <c r="F36" s="3">
        <f t="shared" si="18"/>
        <v>-373.9</v>
      </c>
      <c r="G36" s="7">
        <f t="shared" si="12"/>
        <v>0.8095238095238095</v>
      </c>
      <c r="H36" s="7">
        <f t="shared" si="13"/>
        <v>0.41596638655462187</v>
      </c>
      <c r="I36" s="5">
        <f t="shared" si="19"/>
        <v>-379.08085566943265</v>
      </c>
      <c r="J36" s="5">
        <f t="shared" si="20"/>
        <v>270.6989181662872</v>
      </c>
    </row>
    <row r="37" spans="1:10" ht="12.75">
      <c r="A37" s="2">
        <v>5</v>
      </c>
      <c r="B37" s="5">
        <f t="shared" si="14"/>
        <v>22.54439542752275</v>
      </c>
      <c r="C37" s="8">
        <f t="shared" si="15"/>
        <v>0.005193956803149327</v>
      </c>
      <c r="D37" s="8">
        <f t="shared" si="16"/>
        <v>-0.002879003085489334</v>
      </c>
      <c r="E37" s="2">
        <f t="shared" si="17"/>
        <v>373.9</v>
      </c>
      <c r="F37" s="3">
        <f t="shared" si="18"/>
        <v>-373.9</v>
      </c>
      <c r="G37" s="7">
        <f t="shared" si="12"/>
        <v>0.8095238095238095</v>
      </c>
      <c r="H37" s="7">
        <f t="shared" si="13"/>
        <v>0.41596638655462187</v>
      </c>
      <c r="I37" s="5">
        <f t="shared" si="19"/>
        <v>-453.7924341988731</v>
      </c>
      <c r="J37" s="5">
        <f t="shared" si="20"/>
        <v>279.9674844607106</v>
      </c>
    </row>
    <row r="38" spans="1:10" ht="12.75">
      <c r="A38" s="2">
        <v>6</v>
      </c>
      <c r="B38" s="5">
        <f t="shared" si="14"/>
        <v>25.33600987027968</v>
      </c>
      <c r="C38" s="8">
        <f t="shared" si="15"/>
        <v>0.00423602477278465</v>
      </c>
      <c r="D38" s="8">
        <f t="shared" si="16"/>
        <v>-0.002947426801943954</v>
      </c>
      <c r="E38" s="2">
        <f t="shared" si="17"/>
        <v>373.9</v>
      </c>
      <c r="F38" s="3">
        <f t="shared" si="18"/>
        <v>-373.9</v>
      </c>
      <c r="G38" s="7">
        <f t="shared" si="12"/>
        <v>0.8095238095238095</v>
      </c>
      <c r="H38" s="7">
        <f t="shared" si="13"/>
        <v>0.41596638655462187</v>
      </c>
      <c r="I38" s="5">
        <f t="shared" si="19"/>
        <v>-528.5040127283135</v>
      </c>
      <c r="J38" s="5">
        <f t="shared" si="20"/>
        <v>287.5009224992741</v>
      </c>
    </row>
    <row r="39" spans="1:10" ht="12.75">
      <c r="A39" s="2">
        <v>7</v>
      </c>
      <c r="B39" s="5">
        <f t="shared" si="14"/>
        <v>28.127624313036602</v>
      </c>
      <c r="C39" s="8">
        <f t="shared" si="15"/>
        <v>0.0034682386901462507</v>
      </c>
      <c r="D39" s="8">
        <f t="shared" si="16"/>
        <v>-0.0030022686649895537</v>
      </c>
      <c r="E39" s="2">
        <f t="shared" si="17"/>
        <v>373.9</v>
      </c>
      <c r="F39" s="3">
        <f t="shared" si="18"/>
        <v>-373.9</v>
      </c>
      <c r="G39" s="7">
        <f t="shared" si="12"/>
        <v>0.8095238095238095</v>
      </c>
      <c r="H39" s="7">
        <f t="shared" si="13"/>
        <v>0.41596638655462187</v>
      </c>
      <c r="I39" s="5">
        <f t="shared" si="19"/>
        <v>-603.2155912577538</v>
      </c>
      <c r="J39" s="5">
        <f t="shared" si="20"/>
        <v>293.2992322819779</v>
      </c>
    </row>
    <row r="40" spans="1:10" ht="12.75">
      <c r="A40" s="2">
        <v>8</v>
      </c>
      <c r="B40" s="5">
        <f t="shared" si="14"/>
        <v>30.91923875579353</v>
      </c>
      <c r="C40" s="8">
        <f t="shared" si="15"/>
        <v>0.0028390952651857985</v>
      </c>
      <c r="D40" s="8">
        <f t="shared" si="16"/>
        <v>-0.0030472074810581574</v>
      </c>
      <c r="E40" s="2">
        <f t="shared" si="17"/>
        <v>373.9</v>
      </c>
      <c r="F40" s="3">
        <f t="shared" si="18"/>
        <v>-373.9</v>
      </c>
      <c r="G40" s="7">
        <f t="shared" si="12"/>
        <v>0.8095238095238095</v>
      </c>
      <c r="H40" s="7">
        <f t="shared" si="13"/>
        <v>0.41596638655462187</v>
      </c>
      <c r="I40" s="5">
        <f t="shared" si="19"/>
        <v>-677.9271697871942</v>
      </c>
      <c r="J40" s="5">
        <f t="shared" si="20"/>
        <v>297.3624138088219</v>
      </c>
    </row>
    <row r="41" spans="1:10" ht="12.75">
      <c r="A41" s="2">
        <v>9</v>
      </c>
      <c r="B41" s="5">
        <f t="shared" si="14"/>
        <v>33.71085319855045</v>
      </c>
      <c r="C41" s="8">
        <f t="shared" si="15"/>
        <v>0.0023141512718648097</v>
      </c>
      <c r="D41" s="8">
        <f t="shared" si="16"/>
        <v>-0.003084703480581085</v>
      </c>
      <c r="E41" s="2">
        <f t="shared" si="17"/>
        <v>373.9</v>
      </c>
      <c r="F41" s="3">
        <f t="shared" si="18"/>
        <v>-373.9</v>
      </c>
      <c r="G41" s="7">
        <f t="shared" si="12"/>
        <v>0.8095238095238095</v>
      </c>
      <c r="H41" s="7">
        <f t="shared" si="13"/>
        <v>0.41596638655462187</v>
      </c>
      <c r="I41" s="5">
        <f t="shared" si="19"/>
        <v>-752.6387483166343</v>
      </c>
      <c r="J41" s="5">
        <f t="shared" si="20"/>
        <v>299.690467079806</v>
      </c>
    </row>
    <row r="42" spans="1:10" ht="12.75">
      <c r="A42" s="2">
        <v>10</v>
      </c>
      <c r="B42" s="5">
        <f>J11</f>
        <v>36.50246764130738</v>
      </c>
      <c r="C42" s="8">
        <f t="shared" si="15"/>
        <v>0.0018695</v>
      </c>
      <c r="D42" s="8">
        <f t="shared" si="16"/>
        <v>-0.0031164642857142858</v>
      </c>
      <c r="E42" s="2">
        <f t="shared" si="17"/>
        <v>373.90000000000003</v>
      </c>
      <c r="F42" s="3">
        <f t="shared" si="18"/>
        <v>-373.9</v>
      </c>
      <c r="G42" s="7">
        <f t="shared" si="12"/>
        <v>0.8095238095238095</v>
      </c>
      <c r="H42" s="7">
        <f t="shared" si="13"/>
        <v>0.41596638655462187</v>
      </c>
      <c r="I42" s="5">
        <f t="shared" si="19"/>
        <v>-827.3503268460748</v>
      </c>
      <c r="J42" s="5">
        <f t="shared" si="20"/>
        <v>300.2833920949305</v>
      </c>
    </row>
    <row r="44" ht="12.75">
      <c r="A44" s="2" t="s">
        <v>183</v>
      </c>
    </row>
    <row r="45" spans="1:10" ht="12.75">
      <c r="A45" s="2">
        <v>0</v>
      </c>
      <c r="B45" s="5">
        <f>$B$42+($B$55-$B$42)*A45/$A$55</f>
        <v>36.50246764130738</v>
      </c>
      <c r="C45" s="8">
        <f aca="true" t="shared" si="21" ref="C45:C55">-($B$7-B45)/B45*$J$4</f>
        <v>0.0018695</v>
      </c>
      <c r="D45" s="8">
        <f>(B45-$B$6)/B45*$J$4</f>
        <v>-0.0031164642857142858</v>
      </c>
      <c r="E45" s="3">
        <f aca="true" t="shared" si="22" ref="E45:F47">IF(C45&lt;-$J$6,-$F$12,IF(C45&gt;$J$6,$F$12,C45*$F$10))</f>
        <v>373.90000000000003</v>
      </c>
      <c r="F45" s="3">
        <f t="shared" si="22"/>
        <v>-373.9</v>
      </c>
      <c r="G45" s="7">
        <f aca="true" t="shared" si="23" ref="G45:G55">17/21</f>
        <v>0.8095238095238095</v>
      </c>
      <c r="H45" s="7">
        <f aca="true" t="shared" si="24" ref="H45:H55">99/238</f>
        <v>0.41596638655462187</v>
      </c>
      <c r="I45" s="5">
        <f>(-G45*$B$4*B45*$F$6+$B$9*E45+$B$10*F45)/10</f>
        <v>-827.3503268460748</v>
      </c>
      <c r="J45" s="5">
        <f>(G45*$B$4*B45*$F$6*($B$5/2-H45*B45)+($B$9*E45-$B$10*F45)*($B$5/2-$B$6))/1000</f>
        <v>300.2833920949305</v>
      </c>
    </row>
    <row r="46" spans="1:10" ht="12.75">
      <c r="A46" s="2">
        <v>1</v>
      </c>
      <c r="B46" s="5">
        <f aca="true" t="shared" si="25" ref="B46:B54">$B$42+($B$55-$B$42)*A46/$A$55</f>
        <v>38.85222087717665</v>
      </c>
      <c r="C46" s="8">
        <f t="shared" si="21"/>
        <v>0.0015447566593326523</v>
      </c>
      <c r="D46" s="8">
        <f>(B46-$B$6)/B46*$J$4</f>
        <v>-0.003139660238619096</v>
      </c>
      <c r="E46" s="3">
        <f t="shared" si="22"/>
        <v>308.95133186653044</v>
      </c>
      <c r="F46" s="3">
        <f t="shared" si="22"/>
        <v>-373.9</v>
      </c>
      <c r="G46" s="7">
        <f t="shared" si="23"/>
        <v>0.8095238095238095</v>
      </c>
      <c r="H46" s="7">
        <f t="shared" si="24"/>
        <v>0.41596638655462187</v>
      </c>
      <c r="I46" s="5">
        <f>(-G46*$B$4*B46*$F$6+$B$9*E46+$B$10*F46)/10</f>
        <v>-955.18510515208</v>
      </c>
      <c r="J46" s="5">
        <f>(G46*$B$4*B46*$F$6*($B$5/2-H46*B46)+($B$9*E46-$B$10*F46)*($B$5/2-$B$6))/1000</f>
        <v>282.5509091977513</v>
      </c>
    </row>
    <row r="47" spans="1:10" ht="12.75">
      <c r="A47" s="2">
        <v>2</v>
      </c>
      <c r="B47" s="5">
        <f t="shared" si="25"/>
        <v>41.20197411304591</v>
      </c>
      <c r="C47" s="8">
        <f t="shared" si="21"/>
        <v>0.0012570536174367414</v>
      </c>
      <c r="D47" s="8">
        <f>(B47-$B$6)/B47*$J$4</f>
        <v>-0.0031602104558973755</v>
      </c>
      <c r="E47" s="3">
        <f t="shared" si="22"/>
        <v>251.4107234873483</v>
      </c>
      <c r="F47" s="3">
        <f t="shared" si="22"/>
        <v>-373.9</v>
      </c>
      <c r="G47" s="7">
        <f t="shared" si="23"/>
        <v>0.8095238095238095</v>
      </c>
      <c r="H47" s="7">
        <f t="shared" si="24"/>
        <v>0.41596638655462187</v>
      </c>
      <c r="I47" s="5">
        <f>(-G47*$B$4*B47*$F$6+$B$9*E47+$B$10*F47)/10</f>
        <v>-1075.6118237037972</v>
      </c>
      <c r="J47" s="5">
        <f>(G47*$B$4*B47*$F$6*($B$5/2-H47*B47)+($B$9*E47-$B$10*F47)*($B$5/2-$B$6))/1000</f>
        <v>265.5152010597083</v>
      </c>
    </row>
    <row r="48" spans="1:10" ht="12.75">
      <c r="A48" s="2">
        <v>3</v>
      </c>
      <c r="B48" s="5">
        <f t="shared" si="25"/>
        <v>43.55172734891517</v>
      </c>
      <c r="C48" s="8">
        <f t="shared" si="21"/>
        <v>0.0010003955510132518</v>
      </c>
      <c r="D48" s="8">
        <f aca="true" t="shared" si="26" ref="D48:D55">(B48-$B$6)/B48*$J$4</f>
        <v>-0.003178543174927625</v>
      </c>
      <c r="E48" s="3">
        <f aca="true" t="shared" si="27" ref="E48:E55">IF(C48&lt;-$J$6,-$F$12,IF(C48&gt;$J$6,$F$12,C48*$F$10))</f>
        <v>200.07911020265036</v>
      </c>
      <c r="F48" s="3">
        <f aca="true" t="shared" si="28" ref="F48:F55">IF(D48&lt;-$J$6,-$F$12,IF(D48&gt;$J$6,$F$12,D48*$F$10))</f>
        <v>-373.9</v>
      </c>
      <c r="G48" s="7">
        <f t="shared" si="23"/>
        <v>0.8095238095238095</v>
      </c>
      <c r="H48" s="7">
        <f t="shared" si="24"/>
        <v>0.41596638655462187</v>
      </c>
      <c r="I48" s="5">
        <f aca="true" t="shared" si="29" ref="I48:I55">(-G48*$B$4*B48*$F$6+$B$9*E48+$B$10*F48)/10</f>
        <v>-1189.8295471610304</v>
      </c>
      <c r="J48" s="5">
        <f aca="true" t="shared" si="30" ref="J48:J55">(G48*$B$4*B48*$F$6*($B$5/2-H48*B48)+($B$9*E48-$B$10*F48)*($B$5/2-$B$6))/1000</f>
        <v>248.86451086925248</v>
      </c>
    </row>
    <row r="49" spans="1:10" ht="12.75">
      <c r="A49" s="2">
        <v>4</v>
      </c>
      <c r="B49" s="5">
        <f t="shared" si="25"/>
        <v>45.90148058478443</v>
      </c>
      <c r="C49" s="8">
        <f t="shared" si="21"/>
        <v>0.0007700147686515085</v>
      </c>
      <c r="D49" s="8">
        <f t="shared" si="26"/>
        <v>-0.003194998945096321</v>
      </c>
      <c r="E49" s="3">
        <f t="shared" si="27"/>
        <v>154.0029537303017</v>
      </c>
      <c r="F49" s="3">
        <f t="shared" si="28"/>
        <v>-373.9</v>
      </c>
      <c r="G49" s="7">
        <f t="shared" si="23"/>
        <v>0.8095238095238095</v>
      </c>
      <c r="H49" s="7">
        <f t="shared" si="24"/>
        <v>0.41596638655462187</v>
      </c>
      <c r="I49" s="5">
        <f t="shared" si="29"/>
        <v>-1298.7918138059147</v>
      </c>
      <c r="J49" s="5">
        <f t="shared" si="30"/>
        <v>232.35091867302899</v>
      </c>
    </row>
    <row r="50" spans="1:10" ht="12.75">
      <c r="A50" s="2">
        <v>5</v>
      </c>
      <c r="B50" s="5">
        <f t="shared" si="25"/>
        <v>48.251233820653695</v>
      </c>
      <c r="C50" s="8">
        <f t="shared" si="21"/>
        <v>0.0005620722928768549</v>
      </c>
      <c r="D50" s="8">
        <f t="shared" si="26"/>
        <v>-0.0032098519790802246</v>
      </c>
      <c r="E50" s="3">
        <f t="shared" si="27"/>
        <v>112.41445857537097</v>
      </c>
      <c r="F50" s="3">
        <f t="shared" si="28"/>
        <v>-373.9</v>
      </c>
      <c r="G50" s="7">
        <f t="shared" si="23"/>
        <v>0.8095238095238095</v>
      </c>
      <c r="H50" s="7">
        <f t="shared" si="24"/>
        <v>0.41596638655462187</v>
      </c>
      <c r="I50" s="5">
        <f t="shared" si="29"/>
        <v>-1403.2664191333809</v>
      </c>
      <c r="J50" s="5">
        <f t="shared" si="30"/>
        <v>215.77479764235548</v>
      </c>
    </row>
    <row r="51" spans="1:10" ht="12.75">
      <c r="A51" s="2">
        <v>6</v>
      </c>
      <c r="B51" s="5">
        <f t="shared" si="25"/>
        <v>50.60098705652295</v>
      </c>
      <c r="C51" s="8">
        <f t="shared" si="21"/>
        <v>0.00037344222714591724</v>
      </c>
      <c r="D51" s="8">
        <f t="shared" si="26"/>
        <v>-0.003223325555203863</v>
      </c>
      <c r="E51" s="3">
        <f t="shared" si="27"/>
        <v>74.68844542918345</v>
      </c>
      <c r="F51" s="3">
        <f t="shared" si="28"/>
        <v>-373.9</v>
      </c>
      <c r="G51" s="7">
        <f t="shared" si="23"/>
        <v>0.8095238095238095</v>
      </c>
      <c r="H51" s="7">
        <f t="shared" si="24"/>
        <v>0.41596638655462187</v>
      </c>
      <c r="I51" s="5">
        <f t="shared" si="29"/>
        <v>-1503.8785424521036</v>
      </c>
      <c r="J51" s="5">
        <f t="shared" si="30"/>
        <v>198.97360115697666</v>
      </c>
    </row>
    <row r="52" spans="1:10" ht="12.75">
      <c r="A52" s="2">
        <v>7</v>
      </c>
      <c r="B52" s="5">
        <f t="shared" si="25"/>
        <v>52.95074029239221</v>
      </c>
      <c r="C52" s="8">
        <f t="shared" si="21"/>
        <v>0.00020155353669645742</v>
      </c>
      <c r="D52" s="8">
        <f t="shared" si="26"/>
        <v>-0.003235603318807396</v>
      </c>
      <c r="E52" s="3">
        <f t="shared" si="27"/>
        <v>40.31070733929148</v>
      </c>
      <c r="F52" s="3">
        <f t="shared" si="28"/>
        <v>-373.9</v>
      </c>
      <c r="G52" s="7">
        <f t="shared" si="23"/>
        <v>0.8095238095238095</v>
      </c>
      <c r="H52" s="7">
        <f t="shared" si="24"/>
        <v>0.41596638655462187</v>
      </c>
      <c r="I52" s="5">
        <f t="shared" si="29"/>
        <v>-1601.1423907145306</v>
      </c>
      <c r="J52" s="5">
        <f t="shared" si="30"/>
        <v>181.81363540925597</v>
      </c>
    </row>
    <row r="53" spans="1:10" ht="12.75">
      <c r="A53" s="2">
        <v>8</v>
      </c>
      <c r="B53" s="5">
        <f t="shared" si="25"/>
        <v>55.30049352826148</v>
      </c>
      <c r="C53" s="8">
        <f t="shared" si="21"/>
        <v>4.4272166392758044E-05</v>
      </c>
      <c r="D53" s="8">
        <f t="shared" si="26"/>
        <v>-0.0032468377024005173</v>
      </c>
      <c r="E53" s="3">
        <f t="shared" si="27"/>
        <v>8.854433278551609</v>
      </c>
      <c r="F53" s="3">
        <f t="shared" si="28"/>
        <v>-373.9</v>
      </c>
      <c r="G53" s="7">
        <f t="shared" si="23"/>
        <v>0.8095238095238095</v>
      </c>
      <c r="H53" s="7">
        <f t="shared" si="24"/>
        <v>0.41596638655462187</v>
      </c>
      <c r="I53" s="5">
        <f t="shared" si="29"/>
        <v>-1695.484774947806</v>
      </c>
      <c r="J53" s="5">
        <f t="shared" si="30"/>
        <v>164.18392953213632</v>
      </c>
    </row>
    <row r="54" spans="1:10" ht="12.75">
      <c r="A54" s="2">
        <v>9</v>
      </c>
      <c r="B54" s="5">
        <f t="shared" si="25"/>
        <v>57.65024676413074</v>
      </c>
      <c r="C54" s="8">
        <f t="shared" si="21"/>
        <v>-0.00010018801303815523</v>
      </c>
      <c r="D54" s="8">
        <f t="shared" si="26"/>
        <v>-0.003257156286645583</v>
      </c>
      <c r="E54" s="3">
        <f t="shared" si="27"/>
        <v>-20.037602607631047</v>
      </c>
      <c r="F54" s="3">
        <f t="shared" si="28"/>
        <v>-373.9</v>
      </c>
      <c r="G54" s="7">
        <f t="shared" si="23"/>
        <v>0.8095238095238095</v>
      </c>
      <c r="H54" s="7">
        <f t="shared" si="24"/>
        <v>0.41596638655462187</v>
      </c>
      <c r="I54" s="5">
        <f t="shared" si="29"/>
        <v>-1787.2629210065243</v>
      </c>
      <c r="J54" s="5">
        <f t="shared" si="30"/>
        <v>145.99160480342283</v>
      </c>
    </row>
    <row r="55" spans="1:10" ht="12.75">
      <c r="A55" s="2">
        <v>10</v>
      </c>
      <c r="B55" s="5">
        <f>B5</f>
        <v>60</v>
      </c>
      <c r="C55" s="8">
        <f t="shared" si="21"/>
        <v>-0.00023333333333333333</v>
      </c>
      <c r="D55" s="8">
        <f t="shared" si="26"/>
        <v>-0.003266666666666667</v>
      </c>
      <c r="E55" s="3">
        <f t="shared" si="27"/>
        <v>-46.666666666666664</v>
      </c>
      <c r="F55" s="3">
        <f t="shared" si="28"/>
        <v>-373.9</v>
      </c>
      <c r="G55" s="7">
        <f t="shared" si="23"/>
        <v>0.8095238095238095</v>
      </c>
      <c r="H55" s="7">
        <f t="shared" si="24"/>
        <v>0.41596638655462187</v>
      </c>
      <c r="I55" s="5">
        <f t="shared" si="29"/>
        <v>-1876.778095238095</v>
      </c>
      <c r="J55" s="5">
        <f t="shared" si="30"/>
        <v>127.15833197278911</v>
      </c>
    </row>
    <row r="56" ht="12.75">
      <c r="A56" s="2"/>
    </row>
    <row r="57" ht="12.75">
      <c r="A57" s="2" t="s">
        <v>113</v>
      </c>
    </row>
    <row r="58" spans="1:10" ht="12.75">
      <c r="A58" s="2" t="s">
        <v>184</v>
      </c>
      <c r="B58" s="15" t="s">
        <v>185</v>
      </c>
      <c r="C58" s="15" t="s">
        <v>143</v>
      </c>
      <c r="D58" s="15" t="s">
        <v>144</v>
      </c>
      <c r="E58" s="15" t="s">
        <v>122</v>
      </c>
      <c r="F58" s="15" t="s">
        <v>112</v>
      </c>
      <c r="G58" s="15" t="s">
        <v>2</v>
      </c>
      <c r="H58" s="2" t="s">
        <v>149</v>
      </c>
      <c r="I58" s="2" t="s">
        <v>35</v>
      </c>
      <c r="J58" s="2" t="s">
        <v>23</v>
      </c>
    </row>
    <row r="59" spans="1:10" ht="12.75">
      <c r="A59" s="2">
        <v>0</v>
      </c>
      <c r="B59" s="5">
        <f>$B$69*A59/$A$69</f>
        <v>0</v>
      </c>
      <c r="C59" s="8">
        <f>($B$6/(4/7*$B$5)*(1-B59)+B59)*$J$5</f>
        <v>-0.00023333333333333333</v>
      </c>
      <c r="D59" s="8">
        <f>($B$7/(4/7*$B$5)*(1-B59)+B59)*$J$5</f>
        <v>-0.003266666666666667</v>
      </c>
      <c r="E59" s="3">
        <f aca="true" t="shared" si="31" ref="E59:E69">IF(C59&lt;-$J$6,-$F$12,IF(C59&gt;$J$6,$F$12,C59*$F$10))</f>
        <v>-46.666666666666664</v>
      </c>
      <c r="F59" s="3">
        <f aca="true" t="shared" si="32" ref="F59:F69">IF(D59&lt;-$J$6,-$F$12,IF(D59&gt;$J$6,$F$12,D59*$F$10))</f>
        <v>-373.9</v>
      </c>
      <c r="G59" s="7">
        <f aca="true" t="shared" si="33" ref="G59:G69">1-4/21*(1-B59)^2</f>
        <v>0.8095238095238095</v>
      </c>
      <c r="H59" s="7">
        <f aca="true" t="shared" si="34" ref="H59:H69">0.5*(1-16/49*(1-B59)^2)/(1-4/21*(1-B59)^2)</f>
        <v>0.41596638655462187</v>
      </c>
      <c r="I59" s="5">
        <f>(-G59*$B$4*$B$5*$F$6+$B$9*E59+$B$10*F59)/10</f>
        <v>-1876.778095238095</v>
      </c>
      <c r="J59" s="5">
        <f>(G59*$B$4*$B$5*$F$6*($B$5/2-H59*$B$5)+($B$9*E59-$B$10*F59)*($B$5/2-$B$6))/1000</f>
        <v>127.15833197278911</v>
      </c>
    </row>
    <row r="60" spans="1:10" ht="12.75">
      <c r="A60" s="2">
        <v>1</v>
      </c>
      <c r="B60" s="5">
        <f aca="true" t="shared" si="35" ref="B60:B68">$B$69*A60/$A$69</f>
        <v>0.1</v>
      </c>
      <c r="C60" s="8">
        <f aca="true" t="shared" si="36" ref="C60:C69">($B$6/(4/7*$B$5)*(1-B60)+B60)*$J$5</f>
        <v>-0.00041000000000000005</v>
      </c>
      <c r="D60" s="8">
        <f aca="true" t="shared" si="37" ref="D60:D69">($B$7/(4/7*$B$5)*(1-B60)+B60)*$J$5</f>
        <v>-0.00314</v>
      </c>
      <c r="E60" s="3">
        <f t="shared" si="31"/>
        <v>-82.00000000000001</v>
      </c>
      <c r="F60" s="3">
        <f t="shared" si="32"/>
        <v>-373.9</v>
      </c>
      <c r="G60" s="7">
        <f t="shared" si="33"/>
        <v>0.8457142857142858</v>
      </c>
      <c r="H60" s="7">
        <f t="shared" si="34"/>
        <v>0.4348455598455598</v>
      </c>
      <c r="I60" s="5">
        <f aca="true" t="shared" si="38" ref="I60:I69">(-G60*$B$4*$B$5*$F$6+$B$9*E60+$B$10*F60)/10</f>
        <v>-1983.898857142857</v>
      </c>
      <c r="J60" s="5">
        <f aca="true" t="shared" si="39" ref="J60:J69">(G60*$B$4*$B$5*$F$6*($B$5/2-H60*$B$5)+($B$9*E60-$B$10*F60)*($B$5/2-$B$6))/1000</f>
        <v>102.58864489795923</v>
      </c>
    </row>
    <row r="61" spans="1:10" ht="12.75">
      <c r="A61" s="2">
        <v>2</v>
      </c>
      <c r="B61" s="5">
        <f t="shared" si="35"/>
        <v>0.2</v>
      </c>
      <c r="C61" s="8">
        <f t="shared" si="36"/>
        <v>-0.0005866666666666667</v>
      </c>
      <c r="D61" s="8">
        <f t="shared" si="37"/>
        <v>-0.003013333333333333</v>
      </c>
      <c r="E61" s="3">
        <f t="shared" si="31"/>
        <v>-117.33333333333333</v>
      </c>
      <c r="F61" s="3">
        <f t="shared" si="32"/>
        <v>-373.9</v>
      </c>
      <c r="G61" s="7">
        <f t="shared" si="33"/>
        <v>0.878095238095238</v>
      </c>
      <c r="H61" s="7">
        <f t="shared" si="34"/>
        <v>0.4504183452122715</v>
      </c>
      <c r="I61" s="5">
        <f t="shared" si="38"/>
        <v>-2083.4630476190478</v>
      </c>
      <c r="J61" s="5">
        <f t="shared" si="39"/>
        <v>79.63822312925166</v>
      </c>
    </row>
    <row r="62" spans="1:10" ht="12.75">
      <c r="A62" s="2">
        <v>3</v>
      </c>
      <c r="B62" s="5">
        <f t="shared" si="35"/>
        <v>0.3</v>
      </c>
      <c r="C62" s="8">
        <f t="shared" si="36"/>
        <v>-0.0007633333333333333</v>
      </c>
      <c r="D62" s="8">
        <f t="shared" si="37"/>
        <v>-0.0028866666666666667</v>
      </c>
      <c r="E62" s="3">
        <f t="shared" si="31"/>
        <v>-152.66666666666666</v>
      </c>
      <c r="F62" s="3">
        <f t="shared" si="32"/>
        <v>-373.9</v>
      </c>
      <c r="G62" s="7">
        <f t="shared" si="33"/>
        <v>0.9066666666666667</v>
      </c>
      <c r="H62" s="7">
        <f t="shared" si="34"/>
        <v>0.4632352941176471</v>
      </c>
      <c r="I62" s="5">
        <f t="shared" si="38"/>
        <v>-2175.470666666667</v>
      </c>
      <c r="J62" s="5">
        <f t="shared" si="39"/>
        <v>58.30706666666662</v>
      </c>
    </row>
    <row r="63" spans="1:10" ht="12.75">
      <c r="A63" s="2">
        <v>4</v>
      </c>
      <c r="B63" s="5">
        <f t="shared" si="35"/>
        <v>0.4</v>
      </c>
      <c r="C63" s="8">
        <f t="shared" si="36"/>
        <v>-0.0009400000000000001</v>
      </c>
      <c r="D63" s="8">
        <f t="shared" si="37"/>
        <v>-0.00276</v>
      </c>
      <c r="E63" s="3">
        <f t="shared" si="31"/>
        <v>-188.00000000000003</v>
      </c>
      <c r="F63" s="3">
        <f t="shared" si="32"/>
        <v>-373.9</v>
      </c>
      <c r="G63" s="7">
        <f t="shared" si="33"/>
        <v>0.9314285714285715</v>
      </c>
      <c r="H63" s="7">
        <f t="shared" si="34"/>
        <v>0.47370727432077125</v>
      </c>
      <c r="I63" s="5">
        <f t="shared" si="38"/>
        <v>-2259.9217142857146</v>
      </c>
      <c r="J63" s="5">
        <f t="shared" si="39"/>
        <v>38.595175510204086</v>
      </c>
    </row>
    <row r="64" spans="1:10" ht="12.75">
      <c r="A64" s="2">
        <v>5</v>
      </c>
      <c r="B64" s="5">
        <f t="shared" si="35"/>
        <v>0.5</v>
      </c>
      <c r="C64" s="8">
        <f t="shared" si="36"/>
        <v>-0.0011166666666666666</v>
      </c>
      <c r="D64" s="8">
        <f t="shared" si="37"/>
        <v>-0.0026333333333333334</v>
      </c>
      <c r="E64" s="3">
        <f t="shared" si="31"/>
        <v>-223.33333333333331</v>
      </c>
      <c r="F64" s="3">
        <f t="shared" si="32"/>
        <v>-373.9</v>
      </c>
      <c r="G64" s="7">
        <f t="shared" si="33"/>
        <v>0.9523809523809523</v>
      </c>
      <c r="H64" s="7">
        <f t="shared" si="34"/>
        <v>0.4821428571428572</v>
      </c>
      <c r="I64" s="5">
        <f t="shared" si="38"/>
        <v>-2336.81619047619</v>
      </c>
      <c r="J64" s="5">
        <f t="shared" si="39"/>
        <v>20.5025496598639</v>
      </c>
    </row>
    <row r="65" spans="1:10" ht="12.75">
      <c r="A65" s="2">
        <v>6</v>
      </c>
      <c r="B65" s="5">
        <f t="shared" si="35"/>
        <v>0.6</v>
      </c>
      <c r="C65" s="8">
        <f>($B$6/(4/7*$B$5)*(1-B65)+B65)*$J$5</f>
        <v>-0.0012933333333333332</v>
      </c>
      <c r="D65" s="8">
        <f t="shared" si="37"/>
        <v>-0.002506666666666667</v>
      </c>
      <c r="E65" s="3">
        <f t="shared" si="31"/>
        <v>-258.66666666666663</v>
      </c>
      <c r="F65" s="3">
        <f t="shared" si="32"/>
        <v>-373.9</v>
      </c>
      <c r="G65" s="7">
        <f t="shared" si="33"/>
        <v>0.9695238095238096</v>
      </c>
      <c r="H65" s="7">
        <f t="shared" si="34"/>
        <v>0.4887735054729161</v>
      </c>
      <c r="I65" s="5">
        <f t="shared" si="38"/>
        <v>-2406.154095238095</v>
      </c>
      <c r="J65" s="5">
        <f t="shared" si="39"/>
        <v>4.029189115646251</v>
      </c>
    </row>
    <row r="66" spans="1:10" ht="12.75">
      <c r="A66" s="2">
        <v>7</v>
      </c>
      <c r="B66" s="5">
        <f t="shared" si="35"/>
        <v>0.7</v>
      </c>
      <c r="C66" s="8">
        <f t="shared" si="36"/>
        <v>-0.00147</v>
      </c>
      <c r="D66" s="8">
        <f t="shared" si="37"/>
        <v>-0.0023799999999999997</v>
      </c>
      <c r="E66" s="3">
        <f t="shared" si="31"/>
        <v>-294</v>
      </c>
      <c r="F66" s="3">
        <f t="shared" si="32"/>
        <v>-373.9</v>
      </c>
      <c r="G66" s="7">
        <f t="shared" si="33"/>
        <v>0.9828571428571429</v>
      </c>
      <c r="H66" s="7">
        <f t="shared" si="34"/>
        <v>0.4937707641196013</v>
      </c>
      <c r="I66" s="5">
        <f t="shared" si="38"/>
        <v>-2467.935428571429</v>
      </c>
      <c r="J66" s="5">
        <f t="shared" si="39"/>
        <v>-10.824906122448981</v>
      </c>
    </row>
    <row r="67" spans="1:10" ht="12.75">
      <c r="A67" s="2">
        <v>8</v>
      </c>
      <c r="B67" s="5">
        <f t="shared" si="35"/>
        <v>0.8</v>
      </c>
      <c r="C67" s="8">
        <f t="shared" si="36"/>
        <v>-0.0016466666666666667</v>
      </c>
      <c r="D67" s="8">
        <f t="shared" si="37"/>
        <v>-0.0022533333333333333</v>
      </c>
      <c r="E67" s="3">
        <f t="shared" si="31"/>
        <v>-329.33333333333337</v>
      </c>
      <c r="F67" s="3">
        <f t="shared" si="32"/>
        <v>-373.9</v>
      </c>
      <c r="G67" s="7">
        <f t="shared" si="33"/>
        <v>0.9923809523809524</v>
      </c>
      <c r="H67" s="7">
        <f t="shared" si="34"/>
        <v>0.49725802029064986</v>
      </c>
      <c r="I67" s="5">
        <f t="shared" si="38"/>
        <v>-2522.1601904761906</v>
      </c>
      <c r="J67" s="5">
        <f t="shared" si="39"/>
        <v>-24.05973605442183</v>
      </c>
    </row>
    <row r="68" spans="1:10" ht="12.75">
      <c r="A68" s="2">
        <v>9</v>
      </c>
      <c r="B68" s="5">
        <f t="shared" si="35"/>
        <v>0.9</v>
      </c>
      <c r="C68" s="8">
        <f t="shared" si="36"/>
        <v>-0.0018233333333333335</v>
      </c>
      <c r="D68" s="8">
        <f t="shared" si="37"/>
        <v>-0.0021266666666666665</v>
      </c>
      <c r="E68" s="3">
        <f t="shared" si="31"/>
        <v>-364.6666666666667</v>
      </c>
      <c r="F68" s="3">
        <f t="shared" si="32"/>
        <v>-373.9</v>
      </c>
      <c r="G68" s="7">
        <f t="shared" si="33"/>
        <v>0.9980952380952381</v>
      </c>
      <c r="H68" s="7">
        <f t="shared" si="34"/>
        <v>0.49931842966194107</v>
      </c>
      <c r="I68" s="5">
        <f t="shared" si="38"/>
        <v>-2568.828380952381</v>
      </c>
      <c r="J68" s="5">
        <f t="shared" si="39"/>
        <v>-35.675300680272045</v>
      </c>
    </row>
    <row r="69" spans="1:10" ht="12.75">
      <c r="A69" s="2">
        <v>10</v>
      </c>
      <c r="B69" s="5">
        <v>1</v>
      </c>
      <c r="C69" s="8">
        <f t="shared" si="36"/>
        <v>-0.002</v>
      </c>
      <c r="D69" s="8">
        <f t="shared" si="37"/>
        <v>-0.002</v>
      </c>
      <c r="E69" s="3">
        <f t="shared" si="31"/>
        <v>-373.9</v>
      </c>
      <c r="F69" s="3">
        <f t="shared" si="32"/>
        <v>-373.9</v>
      </c>
      <c r="G69" s="7">
        <f t="shared" si="33"/>
        <v>1</v>
      </c>
      <c r="H69" s="7">
        <f t="shared" si="34"/>
        <v>0.5</v>
      </c>
      <c r="I69" s="5">
        <f t="shared" si="38"/>
        <v>-2581.84</v>
      </c>
      <c r="J69" s="5">
        <f t="shared" si="39"/>
        <v>-38.885600000000004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pane ySplit="12" topLeftCell="BM13" activePane="bottomLeft" state="frozen"/>
      <selection pane="topLeft" activeCell="A1" sqref="A1"/>
      <selection pane="bottomLeft" activeCell="A3" sqref="A3"/>
    </sheetView>
  </sheetViews>
  <sheetFormatPr defaultColWidth="9.140625" defaultRowHeight="12.75"/>
  <sheetData>
    <row r="1" spans="1:7" ht="12.75">
      <c r="A1" s="1" t="s">
        <v>176</v>
      </c>
      <c r="B1" s="2"/>
      <c r="C1" s="2"/>
      <c r="D1" s="2"/>
      <c r="E1" s="2"/>
      <c r="F1" s="2"/>
      <c r="G1" s="2"/>
    </row>
    <row r="2" spans="1:7" ht="12.75">
      <c r="A2" s="1" t="s">
        <v>125</v>
      </c>
      <c r="B2" s="2"/>
      <c r="C2" s="2"/>
      <c r="D2" s="2"/>
      <c r="E2" s="2"/>
      <c r="F2" s="2"/>
      <c r="G2" s="2"/>
    </row>
    <row r="3" spans="1:4" ht="12.75">
      <c r="A3" s="2"/>
      <c r="B3" s="2" t="s">
        <v>51</v>
      </c>
      <c r="C3" s="2" t="s">
        <v>52</v>
      </c>
      <c r="D3" s="2"/>
    </row>
    <row r="4" spans="1:10" ht="12.75">
      <c r="A4" s="2" t="s">
        <v>2</v>
      </c>
      <c r="B4" s="2">
        <v>30</v>
      </c>
      <c r="C4" s="2">
        <f>B4/100</f>
        <v>0.3</v>
      </c>
      <c r="D4" s="2"/>
      <c r="E4" s="2" t="s">
        <v>136</v>
      </c>
      <c r="F4" s="2">
        <v>25</v>
      </c>
      <c r="G4" s="9" t="s">
        <v>17</v>
      </c>
      <c r="I4" s="15" t="s">
        <v>145</v>
      </c>
      <c r="J4" s="2">
        <f>-0.0035</f>
        <v>-0.0035</v>
      </c>
    </row>
    <row r="5" spans="1:10" ht="12.75">
      <c r="A5" s="2" t="s">
        <v>6</v>
      </c>
      <c r="B5" s="2">
        <v>60</v>
      </c>
      <c r="C5" s="2">
        <f>B5/100</f>
        <v>0.6</v>
      </c>
      <c r="D5" s="2"/>
      <c r="E5" s="15" t="s">
        <v>137</v>
      </c>
      <c r="F5" s="2">
        <v>1.6</v>
      </c>
      <c r="G5" s="2"/>
      <c r="I5" s="15" t="s">
        <v>156</v>
      </c>
      <c r="J5" s="6">
        <v>-0.002</v>
      </c>
    </row>
    <row r="6" spans="1:10" ht="12.75">
      <c r="A6" s="2" t="s">
        <v>8</v>
      </c>
      <c r="B6" s="2">
        <v>4</v>
      </c>
      <c r="C6" s="2">
        <f>B6/100</f>
        <v>0.04</v>
      </c>
      <c r="D6" s="2"/>
      <c r="E6" s="15" t="s">
        <v>138</v>
      </c>
      <c r="F6" s="5">
        <f>ROUND(0.85*0.83*F4/F5,2)</f>
        <v>11.02</v>
      </c>
      <c r="G6" s="9" t="s">
        <v>17</v>
      </c>
      <c r="I6" s="15" t="s">
        <v>146</v>
      </c>
      <c r="J6" s="2">
        <f>F12/F10</f>
        <v>0.0018694999999999999</v>
      </c>
    </row>
    <row r="7" spans="1:5" ht="12.75">
      <c r="A7" s="2" t="s">
        <v>13</v>
      </c>
      <c r="B7" s="2">
        <f>B5-B6</f>
        <v>56</v>
      </c>
      <c r="C7" s="2">
        <f>B7/100</f>
        <v>0.56</v>
      </c>
      <c r="E7" s="2"/>
    </row>
    <row r="8" spans="1:10" ht="12.75">
      <c r="A8" s="2" t="s">
        <v>21</v>
      </c>
      <c r="B8" s="2">
        <v>15</v>
      </c>
      <c r="C8" s="2"/>
      <c r="D8" s="2"/>
      <c r="E8" s="2" t="s">
        <v>139</v>
      </c>
      <c r="I8" s="2"/>
      <c r="J8" s="2" t="s">
        <v>74</v>
      </c>
    </row>
    <row r="9" spans="1:10" ht="12.75">
      <c r="A9" s="2" t="s">
        <v>10</v>
      </c>
      <c r="B9" s="2">
        <f>'Es 22+'!B10</f>
        <v>6</v>
      </c>
      <c r="C9" s="2">
        <f>B9/10000</f>
        <v>0.0006</v>
      </c>
      <c r="D9" s="2"/>
      <c r="E9" s="2" t="s">
        <v>142</v>
      </c>
      <c r="F9" s="2">
        <v>430</v>
      </c>
      <c r="G9" s="9" t="s">
        <v>17</v>
      </c>
      <c r="I9" s="2" t="s">
        <v>177</v>
      </c>
      <c r="J9" s="7">
        <f>J4/(J4-J6)*B6</f>
        <v>2.6073191172362415</v>
      </c>
    </row>
    <row r="10" spans="1:10" ht="12.75">
      <c r="A10" s="2" t="s">
        <v>12</v>
      </c>
      <c r="B10" s="2">
        <f>'Es 22+'!B9</f>
        <v>10</v>
      </c>
      <c r="C10" s="2">
        <f>B10/10000</f>
        <v>0.001</v>
      </c>
      <c r="D10" s="2"/>
      <c r="E10" s="2" t="s">
        <v>16</v>
      </c>
      <c r="F10" s="2">
        <v>200000</v>
      </c>
      <c r="G10" s="9" t="s">
        <v>17</v>
      </c>
      <c r="I10" s="2" t="s">
        <v>178</v>
      </c>
      <c r="J10" s="7">
        <f>J4/(J4+J6)*B6</f>
        <v>8.586323213738115</v>
      </c>
    </row>
    <row r="11" spans="3:10" ht="12.75">
      <c r="C11" s="2"/>
      <c r="D11" s="2"/>
      <c r="E11" s="15" t="s">
        <v>141</v>
      </c>
      <c r="F11" s="2">
        <v>1.15</v>
      </c>
      <c r="I11" s="2" t="s">
        <v>179</v>
      </c>
      <c r="J11" s="7">
        <f>J4/(J4-J6)*B7</f>
        <v>36.50246764130738</v>
      </c>
    </row>
    <row r="12" spans="3:7" ht="12.75">
      <c r="C12" s="2"/>
      <c r="D12" s="2"/>
      <c r="E12" s="2" t="s">
        <v>140</v>
      </c>
      <c r="F12" s="3">
        <f>ROUND(F9/F11,1)</f>
        <v>373.9</v>
      </c>
      <c r="G12" s="9" t="s">
        <v>17</v>
      </c>
    </row>
    <row r="13" spans="3:7" ht="12.75">
      <c r="C13" s="2"/>
      <c r="D13" s="2"/>
      <c r="E13" s="2"/>
      <c r="F13" s="3"/>
      <c r="G13" s="9"/>
    </row>
    <row r="14" spans="1:6" s="2" customFormat="1" ht="12.75">
      <c r="A14" s="2" t="s">
        <v>107</v>
      </c>
      <c r="F14" s="3"/>
    </row>
    <row r="15" spans="1:10" s="2" customFormat="1" ht="12.75">
      <c r="A15" s="2" t="s">
        <v>180</v>
      </c>
      <c r="B15" s="2" t="s">
        <v>74</v>
      </c>
      <c r="C15" s="15" t="s">
        <v>143</v>
      </c>
      <c r="D15" s="15" t="s">
        <v>144</v>
      </c>
      <c r="E15" s="15" t="s">
        <v>122</v>
      </c>
      <c r="F15" s="15" t="s">
        <v>112</v>
      </c>
      <c r="G15" s="15" t="s">
        <v>2</v>
      </c>
      <c r="H15" s="2" t="s">
        <v>149</v>
      </c>
      <c r="I15" s="2" t="s">
        <v>35</v>
      </c>
      <c r="J15" s="2" t="s">
        <v>23</v>
      </c>
    </row>
    <row r="16" spans="1:10" s="2" customFormat="1" ht="12.75">
      <c r="A16" s="2">
        <v>0</v>
      </c>
      <c r="B16" s="5">
        <f>$B$21*A16/$A$21</f>
        <v>0</v>
      </c>
      <c r="C16" s="2">
        <v>999</v>
      </c>
      <c r="D16" s="2">
        <v>999</v>
      </c>
      <c r="E16" s="2">
        <f aca="true" t="shared" si="0" ref="E16:F21">IF(C16&lt;-$J$6,-$F$12,IF(C16&gt;$J$6,$F$12,C16*$F$10))</f>
        <v>373.9</v>
      </c>
      <c r="F16" s="2">
        <f t="shared" si="0"/>
        <v>373.9</v>
      </c>
      <c r="G16" s="7">
        <f aca="true" t="shared" si="1" ref="G16:G21">17/21</f>
        <v>0.8095238095238095</v>
      </c>
      <c r="H16" s="7">
        <f aca="true" t="shared" si="2" ref="H16:H21">99/238</f>
        <v>0.41596638655462187</v>
      </c>
      <c r="I16" s="5">
        <f aca="true" t="shared" si="3" ref="I16:I21">(-G16*$B$4*B16*$F$6+$B$9*E16+$B$10*F16)/10</f>
        <v>598.24</v>
      </c>
      <c r="J16" s="5">
        <f aca="true" t="shared" si="4" ref="J16:J21">(G16*$B$4*B16*$F$6*($B$5/2-H16*B16)+($B$9*E16-$B$10*F16)*($B$5/2-$B$6))/1000</f>
        <v>-38.885600000000004</v>
      </c>
    </row>
    <row r="17" spans="1:10" s="2" customFormat="1" ht="12.75">
      <c r="A17" s="2">
        <v>1</v>
      </c>
      <c r="B17" s="5">
        <f>$B$21*A17/$A$21</f>
        <v>0.5214638234472483</v>
      </c>
      <c r="C17" s="8">
        <f>-($B$7-B17)/B17*$J$4</f>
        <v>0.37236500000000006</v>
      </c>
      <c r="D17" s="8">
        <f>(B17-$B$6)/B17*$J$4</f>
        <v>0.023347500000000004</v>
      </c>
      <c r="E17" s="2">
        <f t="shared" si="0"/>
        <v>373.9</v>
      </c>
      <c r="F17" s="2">
        <f t="shared" si="0"/>
        <v>373.9</v>
      </c>
      <c r="G17" s="7">
        <f t="shared" si="1"/>
        <v>0.8095238095238095</v>
      </c>
      <c r="H17" s="7">
        <f t="shared" si="2"/>
        <v>0.41596638655462187</v>
      </c>
      <c r="I17" s="5">
        <f t="shared" si="3"/>
        <v>584.2841381879132</v>
      </c>
      <c r="J17" s="5">
        <f t="shared" si="4"/>
        <v>-34.72911331473293</v>
      </c>
    </row>
    <row r="18" spans="1:10" s="2" customFormat="1" ht="12.75">
      <c r="A18" s="2">
        <v>2</v>
      </c>
      <c r="B18" s="5">
        <f>$B$21*A18/$A$21</f>
        <v>1.0429276468944966</v>
      </c>
      <c r="C18" s="8">
        <f>-($B$7-B18)/B18*$J$4</f>
        <v>0.18443250000000003</v>
      </c>
      <c r="D18" s="8">
        <f>(B18-$B$6)/B18*$J$4</f>
        <v>0.009923750000000002</v>
      </c>
      <c r="E18" s="2">
        <f t="shared" si="0"/>
        <v>373.9</v>
      </c>
      <c r="F18" s="2">
        <f t="shared" si="0"/>
        <v>373.9</v>
      </c>
      <c r="G18" s="7">
        <f t="shared" si="1"/>
        <v>0.8095238095238095</v>
      </c>
      <c r="H18" s="7">
        <f t="shared" si="2"/>
        <v>0.41596638655462187</v>
      </c>
      <c r="I18" s="5">
        <f t="shared" si="3"/>
        <v>570.3282763758264</v>
      </c>
      <c r="J18" s="5">
        <f t="shared" si="4"/>
        <v>-30.633170346183768</v>
      </c>
    </row>
    <row r="19" spans="1:10" s="2" customFormat="1" ht="12.75">
      <c r="A19" s="2">
        <v>3</v>
      </c>
      <c r="B19" s="5">
        <f>$B$21*A19/$A$21</f>
        <v>1.564391470341745</v>
      </c>
      <c r="C19" s="8">
        <f>-($B$7-B19)/B19*$J$4</f>
        <v>0.12178833333333333</v>
      </c>
      <c r="D19" s="8">
        <f>(B19-$B$6)/B19*$J$4</f>
        <v>0.005449166666666668</v>
      </c>
      <c r="E19" s="2">
        <f t="shared" si="0"/>
        <v>373.9</v>
      </c>
      <c r="F19" s="2">
        <f t="shared" si="0"/>
        <v>373.9</v>
      </c>
      <c r="G19" s="7">
        <f t="shared" si="1"/>
        <v>0.8095238095238095</v>
      </c>
      <c r="H19" s="7">
        <f t="shared" si="2"/>
        <v>0.41596638655462187</v>
      </c>
      <c r="I19" s="5">
        <f t="shared" si="3"/>
        <v>556.3724145637395</v>
      </c>
      <c r="J19" s="5">
        <f t="shared" si="4"/>
        <v>-26.597771094352517</v>
      </c>
    </row>
    <row r="20" spans="1:10" s="2" customFormat="1" ht="12.75">
      <c r="A20" s="2">
        <v>4</v>
      </c>
      <c r="B20" s="5">
        <f>$B$21*A20/$A$21</f>
        <v>2.085855293788993</v>
      </c>
      <c r="C20" s="8">
        <f>-($B$7-B20)/B20*$J$4</f>
        <v>0.09046625000000001</v>
      </c>
      <c r="D20" s="8">
        <f>(B20-$B$6)/B20*$J$4</f>
        <v>0.0032118750000000008</v>
      </c>
      <c r="E20" s="2">
        <f t="shared" si="0"/>
        <v>373.9</v>
      </c>
      <c r="F20" s="2">
        <f t="shared" si="0"/>
        <v>373.9</v>
      </c>
      <c r="G20" s="7">
        <f t="shared" si="1"/>
        <v>0.8095238095238095</v>
      </c>
      <c r="H20" s="7">
        <f t="shared" si="2"/>
        <v>0.41596638655462187</v>
      </c>
      <c r="I20" s="5">
        <f t="shared" si="3"/>
        <v>542.4165527516528</v>
      </c>
      <c r="J20" s="5">
        <f t="shared" si="4"/>
        <v>-22.622915559239182</v>
      </c>
    </row>
    <row r="21" spans="1:10" s="2" customFormat="1" ht="12.75">
      <c r="A21" s="2">
        <v>5</v>
      </c>
      <c r="B21" s="5">
        <f>J9</f>
        <v>2.6073191172362415</v>
      </c>
      <c r="C21" s="8">
        <f>-($B$7-B21)/B21*$J$4</f>
        <v>0.071673</v>
      </c>
      <c r="D21" s="8">
        <f>(B21-$B$6)/B21*$J$4</f>
        <v>0.0018695000000000005</v>
      </c>
      <c r="E21" s="2">
        <f t="shared" si="0"/>
        <v>373.9</v>
      </c>
      <c r="F21" s="2">
        <f t="shared" si="0"/>
        <v>373.9000000000001</v>
      </c>
      <c r="G21" s="7">
        <f t="shared" si="1"/>
        <v>0.8095238095238095</v>
      </c>
      <c r="H21" s="7">
        <f t="shared" si="2"/>
        <v>0.41596638655462187</v>
      </c>
      <c r="I21" s="5">
        <f t="shared" si="3"/>
        <v>528.4606909395661</v>
      </c>
      <c r="J21" s="5">
        <f t="shared" si="4"/>
        <v>-18.7086037408438</v>
      </c>
    </row>
    <row r="23" ht="12.75">
      <c r="A23" s="2" t="s">
        <v>181</v>
      </c>
    </row>
    <row r="24" spans="1:10" ht="12.75">
      <c r="A24" s="2">
        <v>0</v>
      </c>
      <c r="B24" s="5">
        <f>$B$21+($B$29-$B$21)*A24/$A$29</f>
        <v>2.6073191172362415</v>
      </c>
      <c r="C24" s="8">
        <f aca="true" t="shared" si="5" ref="C24:C29">-($B$7-B24)/B24*$J$4</f>
        <v>0.071673</v>
      </c>
      <c r="D24" s="8">
        <f aca="true" t="shared" si="6" ref="D24:D29">(B24-$B$6)/B24*$J$4</f>
        <v>0.0018695000000000005</v>
      </c>
      <c r="E24" s="2">
        <f aca="true" t="shared" si="7" ref="E24:F29">IF(C24&lt;-$J$6,-$F$12,IF(C24&gt;$J$6,$F$12,C24*$F$10))</f>
        <v>373.9</v>
      </c>
      <c r="F24" s="3">
        <f t="shared" si="7"/>
        <v>373.9000000000001</v>
      </c>
      <c r="G24" s="7">
        <f aca="true" t="shared" si="8" ref="G24:G29">17/21</f>
        <v>0.8095238095238095</v>
      </c>
      <c r="H24" s="7">
        <f aca="true" t="shared" si="9" ref="H24:H29">99/238</f>
        <v>0.41596638655462187</v>
      </c>
      <c r="I24" s="5">
        <f aca="true" t="shared" si="10" ref="I24:I29">(-G24*$B$4*B24*$F$6+$B$9*E24+$B$10*F24)/10</f>
        <v>528.4606909395661</v>
      </c>
      <c r="J24" s="5">
        <f aca="true" t="shared" si="11" ref="J24:J29">(G24*$B$4*B24*$F$6*($B$5/2-H24*B24)+($B$9*E24-$B$10*F24)*($B$5/2-$B$6))/1000</f>
        <v>-18.7086037408438</v>
      </c>
    </row>
    <row r="25" spans="1:10" ht="12.75">
      <c r="A25" s="2">
        <v>1</v>
      </c>
      <c r="B25" s="5">
        <f>$B$21+($B$29-$B$21)*A25/$A$29</f>
        <v>3.8031199365366164</v>
      </c>
      <c r="C25" s="8">
        <f t="shared" si="5"/>
        <v>0.0480366339402094</v>
      </c>
      <c r="D25" s="8">
        <f t="shared" si="6"/>
        <v>0.00018118813858638565</v>
      </c>
      <c r="E25" s="2">
        <f t="shared" si="7"/>
        <v>373.9</v>
      </c>
      <c r="F25" s="3">
        <f t="shared" si="7"/>
        <v>36.23762771727713</v>
      </c>
      <c r="G25" s="7">
        <f t="shared" si="8"/>
        <v>0.8095238095238095</v>
      </c>
      <c r="H25" s="7">
        <f t="shared" si="9"/>
        <v>0.41596638655462187</v>
      </c>
      <c r="I25" s="5">
        <f t="shared" si="10"/>
        <v>158.79527215859574</v>
      </c>
      <c r="J25" s="5">
        <f t="shared" si="11"/>
        <v>77.83115707221845</v>
      </c>
    </row>
    <row r="26" spans="1:10" ht="12.75">
      <c r="A26" s="2">
        <v>2</v>
      </c>
      <c r="B26" s="5">
        <f>$B$21+($B$29-$B$21)*A26/$A$29</f>
        <v>4.998920755836991</v>
      </c>
      <c r="C26" s="8">
        <f t="shared" si="5"/>
        <v>0.035708463100988456</v>
      </c>
      <c r="D26" s="8">
        <f t="shared" si="6"/>
        <v>-0.0006993954927865388</v>
      </c>
      <c r="E26" s="2">
        <f t="shared" si="7"/>
        <v>373.9</v>
      </c>
      <c r="F26" s="3">
        <f t="shared" si="7"/>
        <v>-139.87909855730777</v>
      </c>
      <c r="G26" s="7">
        <f t="shared" si="8"/>
        <v>0.8095238095238095</v>
      </c>
      <c r="H26" s="7">
        <f t="shared" si="9"/>
        <v>0.41596638655462187</v>
      </c>
      <c r="I26" s="5">
        <f t="shared" si="10"/>
        <v>-49.32450061423665</v>
      </c>
      <c r="J26" s="5">
        <f t="shared" si="11"/>
        <v>132.05067533047162</v>
      </c>
    </row>
    <row r="27" spans="1:10" ht="12.75">
      <c r="A27" s="2">
        <v>3</v>
      </c>
      <c r="B27" s="5">
        <f>$B$21+($B$29-$B$21)*A27/$A$29</f>
        <v>6.194721575137366</v>
      </c>
      <c r="C27" s="8">
        <f t="shared" si="5"/>
        <v>0.028139840083636652</v>
      </c>
      <c r="D27" s="8">
        <f t="shared" si="6"/>
        <v>-0.001240011422597382</v>
      </c>
      <c r="E27" s="2">
        <f t="shared" si="7"/>
        <v>373.9</v>
      </c>
      <c r="F27" s="3">
        <f t="shared" si="7"/>
        <v>-248.0022845194764</v>
      </c>
      <c r="G27" s="7">
        <f t="shared" si="8"/>
        <v>0.8095238095238095</v>
      </c>
      <c r="H27" s="7">
        <f t="shared" si="9"/>
        <v>0.41596638655462187</v>
      </c>
      <c r="I27" s="5">
        <f t="shared" si="10"/>
        <v>-189.45073307465273</v>
      </c>
      <c r="J27" s="5">
        <f t="shared" si="11"/>
        <v>168.2734985148034</v>
      </c>
    </row>
    <row r="28" spans="1:10" ht="12.75">
      <c r="A28" s="2">
        <v>4</v>
      </c>
      <c r="B28" s="5">
        <f>$B$21+($B$29-$B$21)*A28/$A$29</f>
        <v>7.390522394437741</v>
      </c>
      <c r="C28" s="8">
        <f t="shared" si="5"/>
        <v>0.023020452755479592</v>
      </c>
      <c r="D28" s="8">
        <f t="shared" si="6"/>
        <v>-0.0016056819460371723</v>
      </c>
      <c r="E28" s="2">
        <f t="shared" si="7"/>
        <v>373.9</v>
      </c>
      <c r="F28" s="3">
        <f t="shared" si="7"/>
        <v>-321.13638920743443</v>
      </c>
      <c r="G28" s="7">
        <f t="shared" si="8"/>
        <v>0.8095238095238095</v>
      </c>
      <c r="H28" s="7">
        <f t="shared" si="9"/>
        <v>0.41596638655462187</v>
      </c>
      <c r="I28" s="5">
        <f t="shared" si="10"/>
        <v>-294.58788426085823</v>
      </c>
      <c r="J28" s="5">
        <f t="shared" si="11"/>
        <v>195.08078597514734</v>
      </c>
    </row>
    <row r="29" spans="1:10" ht="12.75">
      <c r="A29" s="2">
        <v>5</v>
      </c>
      <c r="B29" s="5">
        <f>J10</f>
        <v>8.586323213738115</v>
      </c>
      <c r="C29" s="8">
        <f t="shared" si="5"/>
        <v>0.019327000000000007</v>
      </c>
      <c r="D29" s="8">
        <f t="shared" si="6"/>
        <v>-0.0018694999999999996</v>
      </c>
      <c r="E29" s="2">
        <f t="shared" si="7"/>
        <v>373.9</v>
      </c>
      <c r="F29" s="3">
        <f t="shared" si="7"/>
        <v>-373.8999999999999</v>
      </c>
      <c r="G29" s="7">
        <f t="shared" si="8"/>
        <v>0.8095238095238095</v>
      </c>
      <c r="H29" s="7">
        <f t="shared" si="9"/>
        <v>0.41596638655462187</v>
      </c>
      <c r="I29" s="5">
        <f t="shared" si="10"/>
        <v>-379.35454155167116</v>
      </c>
      <c r="J29" s="5">
        <f t="shared" si="11"/>
        <v>216.273370429996</v>
      </c>
    </row>
    <row r="31" ht="12.75">
      <c r="A31" s="2" t="s">
        <v>182</v>
      </c>
    </row>
    <row r="32" spans="1:10" ht="12.75">
      <c r="A32" s="2">
        <v>0</v>
      </c>
      <c r="B32" s="5">
        <f aca="true" t="shared" si="12" ref="B32:B41">$B$29+($B$42-$B$29)*A32/$A$42</f>
        <v>8.586323213738115</v>
      </c>
      <c r="C32" s="8">
        <f aca="true" t="shared" si="13" ref="C32:C42">-($B$7-B32)/B32*$J$4</f>
        <v>0.019327000000000007</v>
      </c>
      <c r="D32" s="8">
        <f aca="true" t="shared" si="14" ref="D32:D42">(B32-$B$6)/B32*$J$4</f>
        <v>-0.0018694999999999996</v>
      </c>
      <c r="E32" s="2">
        <f aca="true" t="shared" si="15" ref="E32:E42">IF(C32&lt;-$J$6,-$F$12,IF(C32&gt;$J$6,$F$12,C32*$F$10))</f>
        <v>373.9</v>
      </c>
      <c r="F32" s="3">
        <f aca="true" t="shared" si="16" ref="F32:F42">IF(D32&lt;-$J$6,-$F$12,IF(D32&gt;$J$6,$F$12,D32*$F$10))</f>
        <v>-373.8999999999999</v>
      </c>
      <c r="G32" s="7">
        <f aca="true" t="shared" si="17" ref="G32:G42">17/21</f>
        <v>0.8095238095238095</v>
      </c>
      <c r="H32" s="7">
        <f aca="true" t="shared" si="18" ref="H32:H42">99/238</f>
        <v>0.41596638655462187</v>
      </c>
      <c r="I32" s="5">
        <f aca="true" t="shared" si="19" ref="I32:I42">(-G32*$B$4*B32*$F$6+$B$9*E32+$B$10*F32)/10</f>
        <v>-379.35454155167116</v>
      </c>
      <c r="J32" s="5">
        <f aca="true" t="shared" si="20" ref="J32:J42">(G32*$B$4*B32*$F$6*($B$5/2-H32*B32)+($B$9*E32-$B$10*F32)*($B$5/2-$B$6))/1000</f>
        <v>216.273370429996</v>
      </c>
    </row>
    <row r="33" spans="1:10" ht="12.75">
      <c r="A33" s="2">
        <v>1</v>
      </c>
      <c r="B33" s="5">
        <f t="shared" si="12"/>
        <v>11.377937656495043</v>
      </c>
      <c r="C33" s="8">
        <f t="shared" si="13"/>
        <v>0.013726320438494784</v>
      </c>
      <c r="D33" s="8">
        <f t="shared" si="14"/>
        <v>-0.0022695485401075157</v>
      </c>
      <c r="E33" s="2">
        <f t="shared" si="15"/>
        <v>373.9</v>
      </c>
      <c r="F33" s="3">
        <f t="shared" si="16"/>
        <v>-373.9</v>
      </c>
      <c r="G33" s="7">
        <f t="shared" si="17"/>
        <v>0.8095238095238095</v>
      </c>
      <c r="H33" s="7">
        <f t="shared" si="18"/>
        <v>0.41596638655462187</v>
      </c>
      <c r="I33" s="5">
        <f t="shared" si="19"/>
        <v>-454.0661200811116</v>
      </c>
      <c r="J33" s="5">
        <f t="shared" si="20"/>
        <v>232.4824497478585</v>
      </c>
    </row>
    <row r="34" spans="1:10" ht="12.75">
      <c r="A34" s="2">
        <v>2</v>
      </c>
      <c r="B34" s="5">
        <f t="shared" si="12"/>
        <v>14.16955209925197</v>
      </c>
      <c r="C34" s="8">
        <f t="shared" si="13"/>
        <v>0.010332476752059587</v>
      </c>
      <c r="D34" s="8">
        <f t="shared" si="14"/>
        <v>-0.0025119659462814583</v>
      </c>
      <c r="E34" s="2">
        <f t="shared" si="15"/>
        <v>373.9</v>
      </c>
      <c r="F34" s="3">
        <f t="shared" si="16"/>
        <v>-373.9</v>
      </c>
      <c r="G34" s="7">
        <f t="shared" si="17"/>
        <v>0.8095238095238095</v>
      </c>
      <c r="H34" s="7">
        <f t="shared" si="18"/>
        <v>0.41596638655462187</v>
      </c>
      <c r="I34" s="5">
        <f t="shared" si="19"/>
        <v>-528.7776986105521</v>
      </c>
      <c r="J34" s="5">
        <f t="shared" si="20"/>
        <v>246.9564008098612</v>
      </c>
    </row>
    <row r="35" spans="1:10" ht="12.75">
      <c r="A35" s="2">
        <v>3</v>
      </c>
      <c r="B35" s="5">
        <f t="shared" si="12"/>
        <v>16.961166542008897</v>
      </c>
      <c r="C35" s="8">
        <f t="shared" si="13"/>
        <v>0.008055808942418743</v>
      </c>
      <c r="D35" s="8">
        <f t="shared" si="14"/>
        <v>-0.0026745850755415185</v>
      </c>
      <c r="E35" s="2">
        <f t="shared" si="15"/>
        <v>373.9</v>
      </c>
      <c r="F35" s="3">
        <f t="shared" si="16"/>
        <v>-373.9</v>
      </c>
      <c r="G35" s="7">
        <f t="shared" si="17"/>
        <v>0.8095238095238095</v>
      </c>
      <c r="H35" s="7">
        <f t="shared" si="18"/>
        <v>0.41596638655462187</v>
      </c>
      <c r="I35" s="5">
        <f t="shared" si="19"/>
        <v>-603.4892771399924</v>
      </c>
      <c r="J35" s="5">
        <f t="shared" si="20"/>
        <v>259.6952236160041</v>
      </c>
    </row>
    <row r="36" spans="1:10" ht="12.75">
      <c r="A36" s="2">
        <v>4</v>
      </c>
      <c r="B36" s="5">
        <f t="shared" si="12"/>
        <v>19.75278098476582</v>
      </c>
      <c r="C36" s="8">
        <f t="shared" si="13"/>
        <v>0.006422653430479662</v>
      </c>
      <c r="D36" s="8">
        <f t="shared" si="14"/>
        <v>-0.0027912390406800245</v>
      </c>
      <c r="E36" s="2">
        <f t="shared" si="15"/>
        <v>373.9</v>
      </c>
      <c r="F36" s="3">
        <f t="shared" si="16"/>
        <v>-373.9</v>
      </c>
      <c r="G36" s="7">
        <f t="shared" si="17"/>
        <v>0.8095238095238095</v>
      </c>
      <c r="H36" s="7">
        <f t="shared" si="18"/>
        <v>0.41596638655462187</v>
      </c>
      <c r="I36" s="5">
        <f t="shared" si="19"/>
        <v>-678.2008556694327</v>
      </c>
      <c r="J36" s="5">
        <f t="shared" si="20"/>
        <v>270.6989181662872</v>
      </c>
    </row>
    <row r="37" spans="1:10" ht="12.75">
      <c r="A37" s="2">
        <v>5</v>
      </c>
      <c r="B37" s="5">
        <f t="shared" si="12"/>
        <v>22.54439542752275</v>
      </c>
      <c r="C37" s="8">
        <f t="shared" si="13"/>
        <v>0.005193956803149327</v>
      </c>
      <c r="D37" s="8">
        <f t="shared" si="14"/>
        <v>-0.002879003085489334</v>
      </c>
      <c r="E37" s="2">
        <f t="shared" si="15"/>
        <v>373.9</v>
      </c>
      <c r="F37" s="3">
        <f t="shared" si="16"/>
        <v>-373.9</v>
      </c>
      <c r="G37" s="7">
        <f t="shared" si="17"/>
        <v>0.8095238095238095</v>
      </c>
      <c r="H37" s="7">
        <f t="shared" si="18"/>
        <v>0.41596638655462187</v>
      </c>
      <c r="I37" s="5">
        <f t="shared" si="19"/>
        <v>-752.9124341988731</v>
      </c>
      <c r="J37" s="5">
        <f t="shared" si="20"/>
        <v>279.9674844607106</v>
      </c>
    </row>
    <row r="38" spans="1:10" ht="12.75">
      <c r="A38" s="2">
        <v>6</v>
      </c>
      <c r="B38" s="5">
        <f t="shared" si="12"/>
        <v>25.33600987027968</v>
      </c>
      <c r="C38" s="8">
        <f t="shared" si="13"/>
        <v>0.00423602477278465</v>
      </c>
      <c r="D38" s="8">
        <f t="shared" si="14"/>
        <v>-0.002947426801943954</v>
      </c>
      <c r="E38" s="2">
        <f t="shared" si="15"/>
        <v>373.9</v>
      </c>
      <c r="F38" s="3">
        <f t="shared" si="16"/>
        <v>-373.9</v>
      </c>
      <c r="G38" s="7">
        <f t="shared" si="17"/>
        <v>0.8095238095238095</v>
      </c>
      <c r="H38" s="7">
        <f t="shared" si="18"/>
        <v>0.41596638655462187</v>
      </c>
      <c r="I38" s="5">
        <f t="shared" si="19"/>
        <v>-827.6240127283133</v>
      </c>
      <c r="J38" s="5">
        <f t="shared" si="20"/>
        <v>287.5009224992741</v>
      </c>
    </row>
    <row r="39" spans="1:10" ht="12.75">
      <c r="A39" s="2">
        <v>7</v>
      </c>
      <c r="B39" s="5">
        <f t="shared" si="12"/>
        <v>28.127624313036602</v>
      </c>
      <c r="C39" s="8">
        <f t="shared" si="13"/>
        <v>0.0034682386901462507</v>
      </c>
      <c r="D39" s="8">
        <f t="shared" si="14"/>
        <v>-0.0030022686649895537</v>
      </c>
      <c r="E39" s="2">
        <f t="shared" si="15"/>
        <v>373.9</v>
      </c>
      <c r="F39" s="3">
        <f t="shared" si="16"/>
        <v>-373.9</v>
      </c>
      <c r="G39" s="7">
        <f t="shared" si="17"/>
        <v>0.8095238095238095</v>
      </c>
      <c r="H39" s="7">
        <f t="shared" si="18"/>
        <v>0.41596638655462187</v>
      </c>
      <c r="I39" s="5">
        <f t="shared" si="19"/>
        <v>-902.3355912577539</v>
      </c>
      <c r="J39" s="5">
        <f t="shared" si="20"/>
        <v>293.2992322819779</v>
      </c>
    </row>
    <row r="40" spans="1:10" ht="12.75">
      <c r="A40" s="2">
        <v>8</v>
      </c>
      <c r="B40" s="5">
        <f t="shared" si="12"/>
        <v>30.91923875579353</v>
      </c>
      <c r="C40" s="8">
        <f t="shared" si="13"/>
        <v>0.0028390952651857985</v>
      </c>
      <c r="D40" s="8">
        <f t="shared" si="14"/>
        <v>-0.0030472074810581574</v>
      </c>
      <c r="E40" s="2">
        <f t="shared" si="15"/>
        <v>373.9</v>
      </c>
      <c r="F40" s="3">
        <f t="shared" si="16"/>
        <v>-373.9</v>
      </c>
      <c r="G40" s="7">
        <f t="shared" si="17"/>
        <v>0.8095238095238095</v>
      </c>
      <c r="H40" s="7">
        <f t="shared" si="18"/>
        <v>0.41596638655462187</v>
      </c>
      <c r="I40" s="5">
        <f t="shared" si="19"/>
        <v>-977.0471697871942</v>
      </c>
      <c r="J40" s="5">
        <f t="shared" si="20"/>
        <v>297.3624138088219</v>
      </c>
    </row>
    <row r="41" spans="1:10" ht="12.75">
      <c r="A41" s="2">
        <v>9</v>
      </c>
      <c r="B41" s="5">
        <f t="shared" si="12"/>
        <v>33.71085319855045</v>
      </c>
      <c r="C41" s="8">
        <f t="shared" si="13"/>
        <v>0.0023141512718648097</v>
      </c>
      <c r="D41" s="8">
        <f t="shared" si="14"/>
        <v>-0.003084703480581085</v>
      </c>
      <c r="E41" s="2">
        <f t="shared" si="15"/>
        <v>373.9</v>
      </c>
      <c r="F41" s="3">
        <f t="shared" si="16"/>
        <v>-373.9</v>
      </c>
      <c r="G41" s="7">
        <f t="shared" si="17"/>
        <v>0.8095238095238095</v>
      </c>
      <c r="H41" s="7">
        <f t="shared" si="18"/>
        <v>0.41596638655462187</v>
      </c>
      <c r="I41" s="5">
        <f t="shared" si="19"/>
        <v>-1051.7587483166344</v>
      </c>
      <c r="J41" s="5">
        <f t="shared" si="20"/>
        <v>299.690467079806</v>
      </c>
    </row>
    <row r="42" spans="1:10" ht="12.75">
      <c r="A42" s="2">
        <v>10</v>
      </c>
      <c r="B42" s="5">
        <f>J11</f>
        <v>36.50246764130738</v>
      </c>
      <c r="C42" s="8">
        <f t="shared" si="13"/>
        <v>0.0018695</v>
      </c>
      <c r="D42" s="8">
        <f t="shared" si="14"/>
        <v>-0.0031164642857142858</v>
      </c>
      <c r="E42" s="2">
        <f t="shared" si="15"/>
        <v>373.90000000000003</v>
      </c>
      <c r="F42" s="3">
        <f t="shared" si="16"/>
        <v>-373.9</v>
      </c>
      <c r="G42" s="7">
        <f t="shared" si="17"/>
        <v>0.8095238095238095</v>
      </c>
      <c r="H42" s="7">
        <f t="shared" si="18"/>
        <v>0.41596638655462187</v>
      </c>
      <c r="I42" s="5">
        <f t="shared" si="19"/>
        <v>-1126.4703268460748</v>
      </c>
      <c r="J42" s="5">
        <f t="shared" si="20"/>
        <v>300.2833920949305</v>
      </c>
    </row>
    <row r="44" ht="12.75">
      <c r="A44" s="2" t="s">
        <v>183</v>
      </c>
    </row>
    <row r="45" spans="1:10" ht="12.75">
      <c r="A45" s="2">
        <v>0</v>
      </c>
      <c r="B45" s="5">
        <f aca="true" t="shared" si="21" ref="B45:B54">$B$42+($B$55-$B$42)*A45/$A$55</f>
        <v>36.50246764130738</v>
      </c>
      <c r="C45" s="8">
        <f aca="true" t="shared" si="22" ref="C45:C55">-($B$7-B45)/B45*$J$4</f>
        <v>0.0018695</v>
      </c>
      <c r="D45" s="8">
        <f aca="true" t="shared" si="23" ref="D45:D55">(B45-$B$6)/B45*$J$4</f>
        <v>-0.0031164642857142858</v>
      </c>
      <c r="E45" s="3">
        <f aca="true" t="shared" si="24" ref="E45:E55">IF(C45&lt;-$J$6,-$F$12,IF(C45&gt;$J$6,$F$12,C45*$F$10))</f>
        <v>373.90000000000003</v>
      </c>
      <c r="F45" s="3">
        <f aca="true" t="shared" si="25" ref="F45:F55">IF(D45&lt;-$J$6,-$F$12,IF(D45&gt;$J$6,$F$12,D45*$F$10))</f>
        <v>-373.9</v>
      </c>
      <c r="G45" s="7">
        <f aca="true" t="shared" si="26" ref="G45:G55">17/21</f>
        <v>0.8095238095238095</v>
      </c>
      <c r="H45" s="7">
        <f aca="true" t="shared" si="27" ref="H45:H55">99/238</f>
        <v>0.41596638655462187</v>
      </c>
      <c r="I45" s="5">
        <f aca="true" t="shared" si="28" ref="I45:I55">(-G45*$B$4*B45*$F$6+$B$9*E45+$B$10*F45)/10</f>
        <v>-1126.4703268460748</v>
      </c>
      <c r="J45" s="5">
        <f aca="true" t="shared" si="29" ref="J45:J55">(G45*$B$4*B45*$F$6*($B$5/2-H45*B45)+($B$9*E45-$B$10*F45)*($B$5/2-$B$6))/1000</f>
        <v>300.2833920949305</v>
      </c>
    </row>
    <row r="46" spans="1:10" ht="12.75">
      <c r="A46" s="2">
        <v>1</v>
      </c>
      <c r="B46" s="5">
        <f t="shared" si="21"/>
        <v>38.85222087717665</v>
      </c>
      <c r="C46" s="8">
        <f t="shared" si="22"/>
        <v>0.0015447566593326523</v>
      </c>
      <c r="D46" s="8">
        <f t="shared" si="23"/>
        <v>-0.003139660238619096</v>
      </c>
      <c r="E46" s="3">
        <f t="shared" si="24"/>
        <v>308.95133186653044</v>
      </c>
      <c r="F46" s="3">
        <f t="shared" si="25"/>
        <v>-373.9</v>
      </c>
      <c r="G46" s="7">
        <f t="shared" si="26"/>
        <v>0.8095238095238095</v>
      </c>
      <c r="H46" s="7">
        <f t="shared" si="27"/>
        <v>0.41596638655462187</v>
      </c>
      <c r="I46" s="5">
        <f t="shared" si="28"/>
        <v>-1228.325637898692</v>
      </c>
      <c r="J46" s="5">
        <f t="shared" si="29"/>
        <v>289.30557068363214</v>
      </c>
    </row>
    <row r="47" spans="1:10" ht="12.75">
      <c r="A47" s="2">
        <v>2</v>
      </c>
      <c r="B47" s="5">
        <f t="shared" si="21"/>
        <v>41.20197411304591</v>
      </c>
      <c r="C47" s="8">
        <f t="shared" si="22"/>
        <v>0.0012570536174367414</v>
      </c>
      <c r="D47" s="8">
        <f t="shared" si="23"/>
        <v>-0.0031602104558973755</v>
      </c>
      <c r="E47" s="3">
        <f t="shared" si="24"/>
        <v>251.4107234873483</v>
      </c>
      <c r="F47" s="3">
        <f t="shared" si="25"/>
        <v>-373.9</v>
      </c>
      <c r="G47" s="7">
        <f t="shared" si="26"/>
        <v>0.8095238095238095</v>
      </c>
      <c r="H47" s="7">
        <f t="shared" si="27"/>
        <v>0.41596638655462187</v>
      </c>
      <c r="I47" s="5">
        <f t="shared" si="28"/>
        <v>-1325.7361130987367</v>
      </c>
      <c r="J47" s="5">
        <f t="shared" si="29"/>
        <v>278.25408581702413</v>
      </c>
    </row>
    <row r="48" spans="1:10" ht="12.75">
      <c r="A48" s="2">
        <v>3</v>
      </c>
      <c r="B48" s="5">
        <f t="shared" si="21"/>
        <v>43.55172734891517</v>
      </c>
      <c r="C48" s="8">
        <f t="shared" si="22"/>
        <v>0.0010003955510132518</v>
      </c>
      <c r="D48" s="8">
        <f t="shared" si="23"/>
        <v>-0.003178543174927625</v>
      </c>
      <c r="E48" s="3">
        <f t="shared" si="24"/>
        <v>200.07911020265036</v>
      </c>
      <c r="F48" s="3">
        <f t="shared" si="25"/>
        <v>-373.9</v>
      </c>
      <c r="G48" s="7">
        <f t="shared" si="26"/>
        <v>0.8095238095238095</v>
      </c>
      <c r="H48" s="7">
        <f t="shared" si="27"/>
        <v>0.41596638655462187</v>
      </c>
      <c r="I48" s="5">
        <f t="shared" si="28"/>
        <v>-1419.4211912420908</v>
      </c>
      <c r="J48" s="5">
        <f t="shared" si="29"/>
        <v>266.94188340817686</v>
      </c>
    </row>
    <row r="49" spans="1:10" ht="12.75">
      <c r="A49" s="2">
        <v>4</v>
      </c>
      <c r="B49" s="5">
        <f t="shared" si="21"/>
        <v>45.90148058478443</v>
      </c>
      <c r="C49" s="8">
        <f t="shared" si="22"/>
        <v>0.0007700147686515085</v>
      </c>
      <c r="D49" s="8">
        <f t="shared" si="23"/>
        <v>-0.003194998945096321</v>
      </c>
      <c r="E49" s="3">
        <f t="shared" si="24"/>
        <v>154.0029537303017</v>
      </c>
      <c r="F49" s="3">
        <f t="shared" si="25"/>
        <v>-373.9</v>
      </c>
      <c r="G49" s="7">
        <f t="shared" si="26"/>
        <v>0.8095238095238095</v>
      </c>
      <c r="H49" s="7">
        <f t="shared" si="27"/>
        <v>0.41596638655462187</v>
      </c>
      <c r="I49" s="5">
        <f t="shared" si="28"/>
        <v>-1509.9529952980354</v>
      </c>
      <c r="J49" s="5">
        <f t="shared" si="29"/>
        <v>255.22021148507764</v>
      </c>
    </row>
    <row r="50" spans="1:10" ht="12.75">
      <c r="A50" s="2">
        <v>5</v>
      </c>
      <c r="B50" s="5">
        <f t="shared" si="21"/>
        <v>48.251233820653695</v>
      </c>
      <c r="C50" s="8">
        <f t="shared" si="22"/>
        <v>0.0005620722928768549</v>
      </c>
      <c r="D50" s="8">
        <f t="shared" si="23"/>
        <v>-0.0032098519790802246</v>
      </c>
      <c r="E50" s="3">
        <f t="shared" si="24"/>
        <v>112.41445857537097</v>
      </c>
      <c r="F50" s="3">
        <f t="shared" si="25"/>
        <v>-373.9</v>
      </c>
      <c r="G50" s="7">
        <f t="shared" si="26"/>
        <v>0.8095238095238095</v>
      </c>
      <c r="H50" s="7">
        <f t="shared" si="27"/>
        <v>0.41596638655462187</v>
      </c>
      <c r="I50" s="5">
        <f t="shared" si="28"/>
        <v>-1597.7922025635291</v>
      </c>
      <c r="J50" s="5">
        <f t="shared" si="29"/>
        <v>242.9692939505169</v>
      </c>
    </row>
    <row r="51" spans="1:10" ht="12.75">
      <c r="A51" s="2">
        <v>6</v>
      </c>
      <c r="B51" s="5">
        <f t="shared" si="21"/>
        <v>50.60098705652295</v>
      </c>
      <c r="C51" s="8">
        <f t="shared" si="22"/>
        <v>0.00037344222714591724</v>
      </c>
      <c r="D51" s="8">
        <f t="shared" si="23"/>
        <v>-0.003223325555203863</v>
      </c>
      <c r="E51" s="3">
        <f t="shared" si="24"/>
        <v>74.68844542918345</v>
      </c>
      <c r="F51" s="3">
        <f t="shared" si="25"/>
        <v>-373.9</v>
      </c>
      <c r="G51" s="7">
        <f t="shared" si="26"/>
        <v>0.8095238095238095</v>
      </c>
      <c r="H51" s="7">
        <f t="shared" si="27"/>
        <v>0.41596638655462187</v>
      </c>
      <c r="I51" s="5">
        <f t="shared" si="28"/>
        <v>-1683.313920623777</v>
      </c>
      <c r="J51" s="5">
        <f t="shared" si="29"/>
        <v>230.09160283234158</v>
      </c>
    </row>
    <row r="52" spans="1:10" ht="12.75">
      <c r="A52" s="2">
        <v>7</v>
      </c>
      <c r="B52" s="5">
        <f t="shared" si="21"/>
        <v>52.95074029239221</v>
      </c>
      <c r="C52" s="8">
        <f t="shared" si="22"/>
        <v>0.00020155353669645742</v>
      </c>
      <c r="D52" s="8">
        <f t="shared" si="23"/>
        <v>-0.003235603318807396</v>
      </c>
      <c r="E52" s="3">
        <f t="shared" si="24"/>
        <v>40.31070733929148</v>
      </c>
      <c r="F52" s="3">
        <f t="shared" si="25"/>
        <v>-373.9</v>
      </c>
      <c r="G52" s="7">
        <f t="shared" si="26"/>
        <v>0.8095238095238095</v>
      </c>
      <c r="H52" s="7">
        <f t="shared" si="27"/>
        <v>0.41596638655462187</v>
      </c>
      <c r="I52" s="5">
        <f t="shared" si="28"/>
        <v>-1766.8266736502476</v>
      </c>
      <c r="J52" s="5">
        <f t="shared" si="29"/>
        <v>216.50692184596969</v>
      </c>
    </row>
    <row r="53" spans="1:10" ht="12.75">
      <c r="A53" s="2">
        <v>8</v>
      </c>
      <c r="B53" s="5">
        <f t="shared" si="21"/>
        <v>55.30049352826148</v>
      </c>
      <c r="C53" s="8">
        <f t="shared" si="22"/>
        <v>4.4272166392758044E-05</v>
      </c>
      <c r="D53" s="8">
        <f t="shared" si="23"/>
        <v>-0.0032468377024005173</v>
      </c>
      <c r="E53" s="3">
        <f t="shared" si="24"/>
        <v>8.854433278551609</v>
      </c>
      <c r="F53" s="3">
        <f t="shared" si="25"/>
        <v>-373.9</v>
      </c>
      <c r="G53" s="7">
        <f t="shared" si="26"/>
        <v>0.8095238095238095</v>
      </c>
      <c r="H53" s="7">
        <f t="shared" si="27"/>
        <v>0.41596638655462187</v>
      </c>
      <c r="I53" s="5">
        <f t="shared" si="28"/>
        <v>-1848.5865482592267</v>
      </c>
      <c r="J53" s="5">
        <f t="shared" si="29"/>
        <v>202.14866847116699</v>
      </c>
    </row>
    <row r="54" spans="1:10" ht="12.75">
      <c r="A54" s="2">
        <v>9</v>
      </c>
      <c r="B54" s="5">
        <f t="shared" si="21"/>
        <v>57.65024676413074</v>
      </c>
      <c r="C54" s="8">
        <f t="shared" si="22"/>
        <v>-0.00010018801303815523</v>
      </c>
      <c r="D54" s="8">
        <f t="shared" si="23"/>
        <v>-0.003257156286645583</v>
      </c>
      <c r="E54" s="3">
        <f t="shared" si="24"/>
        <v>-20.037602607631047</v>
      </c>
      <c r="F54" s="3">
        <f t="shared" si="25"/>
        <v>-373.9</v>
      </c>
      <c r="G54" s="7">
        <f t="shared" si="26"/>
        <v>0.8095238095238095</v>
      </c>
      <c r="H54" s="7">
        <f t="shared" si="27"/>
        <v>0.41596638655462187</v>
      </c>
      <c r="I54" s="5">
        <f t="shared" si="28"/>
        <v>-1928.8078799634718</v>
      </c>
      <c r="J54" s="5">
        <f t="shared" si="29"/>
        <v>186.96111547461646</v>
      </c>
    </row>
    <row r="55" spans="1:10" ht="12.75">
      <c r="A55" s="2">
        <v>10</v>
      </c>
      <c r="B55" s="5">
        <f>B5</f>
        <v>60</v>
      </c>
      <c r="C55" s="8">
        <f t="shared" si="22"/>
        <v>-0.00023333333333333333</v>
      </c>
      <c r="D55" s="8">
        <f t="shared" si="23"/>
        <v>-0.003266666666666667</v>
      </c>
      <c r="E55" s="3">
        <f t="shared" si="24"/>
        <v>-46.666666666666664</v>
      </c>
      <c r="F55" s="3">
        <f t="shared" si="25"/>
        <v>-373.9</v>
      </c>
      <c r="G55" s="7">
        <f t="shared" si="26"/>
        <v>0.8095238095238095</v>
      </c>
      <c r="H55" s="7">
        <f t="shared" si="27"/>
        <v>0.41596638655462187</v>
      </c>
      <c r="I55" s="5">
        <f t="shared" si="28"/>
        <v>-2007.6714285714284</v>
      </c>
      <c r="J55" s="5">
        <f t="shared" si="29"/>
        <v>170.89726530612242</v>
      </c>
    </row>
    <row r="56" ht="12.75">
      <c r="A56" s="2"/>
    </row>
    <row r="57" ht="12.75">
      <c r="A57" s="2" t="s">
        <v>113</v>
      </c>
    </row>
    <row r="58" spans="1:10" ht="12.75">
      <c r="A58" s="2" t="s">
        <v>184</v>
      </c>
      <c r="B58" s="15" t="s">
        <v>185</v>
      </c>
      <c r="C58" s="15" t="s">
        <v>143</v>
      </c>
      <c r="D58" s="15" t="s">
        <v>144</v>
      </c>
      <c r="E58" s="15" t="s">
        <v>122</v>
      </c>
      <c r="F58" s="15" t="s">
        <v>112</v>
      </c>
      <c r="G58" s="15" t="s">
        <v>2</v>
      </c>
      <c r="H58" s="2" t="s">
        <v>149</v>
      </c>
      <c r="I58" s="2" t="s">
        <v>35</v>
      </c>
      <c r="J58" s="2" t="s">
        <v>23</v>
      </c>
    </row>
    <row r="59" spans="1:10" ht="12.75">
      <c r="A59" s="2">
        <v>0</v>
      </c>
      <c r="B59" s="5">
        <f aca="true" t="shared" si="30" ref="B59:B68">$B$69*A59/$A$69</f>
        <v>0</v>
      </c>
      <c r="C59" s="8">
        <f aca="true" t="shared" si="31" ref="C59:C69">($B$6/(4/7*$B$5)*(1-B59)+B59)*$J$5</f>
        <v>-0.00023333333333333333</v>
      </c>
      <c r="D59" s="8">
        <f aca="true" t="shared" si="32" ref="D59:D69">($B$7/(4/7*$B$5)*(1-B59)+B59)*$J$5</f>
        <v>-0.003266666666666667</v>
      </c>
      <c r="E59" s="3">
        <f aca="true" t="shared" si="33" ref="E59:E69">IF(C59&lt;-$J$6,-$F$12,IF(C59&gt;$J$6,$F$12,C59*$F$10))</f>
        <v>-46.666666666666664</v>
      </c>
      <c r="F59" s="3">
        <f aca="true" t="shared" si="34" ref="F59:F69">IF(D59&lt;-$J$6,-$F$12,IF(D59&gt;$J$6,$F$12,D59*$F$10))</f>
        <v>-373.9</v>
      </c>
      <c r="G59" s="7">
        <f aca="true" t="shared" si="35" ref="G59:G69">1-4/21*(1-B59)^2</f>
        <v>0.8095238095238095</v>
      </c>
      <c r="H59" s="7">
        <f aca="true" t="shared" si="36" ref="H59:H69">0.5*(1-16/49*(1-B59)^2)/(1-4/21*(1-B59)^2)</f>
        <v>0.41596638655462187</v>
      </c>
      <c r="I59" s="5">
        <f>(-G59*$B$4*$B$5*$F$6+$B$9*E59+$B$10*F59)/10</f>
        <v>-2007.6714285714284</v>
      </c>
      <c r="J59" s="5">
        <f>(G59*$B$4*$B$5*$F$6*($B$5/2-H59*$B$5)+($B$9*E59-$B$10*F59)*($B$5/2-$B$6))/1000</f>
        <v>170.89726530612242</v>
      </c>
    </row>
    <row r="60" spans="1:10" ht="12.75">
      <c r="A60" s="2">
        <v>1</v>
      </c>
      <c r="B60" s="5">
        <f t="shared" si="30"/>
        <v>0.1</v>
      </c>
      <c r="C60" s="8">
        <f t="shared" si="31"/>
        <v>-0.00041000000000000005</v>
      </c>
      <c r="D60" s="8">
        <f t="shared" si="32"/>
        <v>-0.00314</v>
      </c>
      <c r="E60" s="3">
        <f t="shared" si="33"/>
        <v>-82.00000000000001</v>
      </c>
      <c r="F60" s="3">
        <f t="shared" si="34"/>
        <v>-373.9</v>
      </c>
      <c r="G60" s="7">
        <f t="shared" si="35"/>
        <v>0.8457142857142858</v>
      </c>
      <c r="H60" s="7">
        <f t="shared" si="36"/>
        <v>0.4348455598455598</v>
      </c>
      <c r="I60" s="5">
        <f aca="true" t="shared" si="37" ref="I60:I69">(-G60*$B$4*$B$5*$F$6+$B$9*E60+$B$10*F60)/10</f>
        <v>-2100.6588571428574</v>
      </c>
      <c r="J60" s="5">
        <f aca="true" t="shared" si="38" ref="J60:J69">(G60*$B$4*$B$5*$F$6*($B$5/2-H60*$B$5)+($B$9*E60-$B$10*F60)*($B$5/2-$B$6))/1000</f>
        <v>150.00224489795923</v>
      </c>
    </row>
    <row r="61" spans="1:10" ht="12.75">
      <c r="A61" s="2">
        <v>2</v>
      </c>
      <c r="B61" s="5">
        <f t="shared" si="30"/>
        <v>0.2</v>
      </c>
      <c r="C61" s="8">
        <f t="shared" si="31"/>
        <v>-0.0005866666666666667</v>
      </c>
      <c r="D61" s="8">
        <f t="shared" si="32"/>
        <v>-0.003013333333333333</v>
      </c>
      <c r="E61" s="3">
        <f t="shared" si="33"/>
        <v>-117.33333333333333</v>
      </c>
      <c r="F61" s="3">
        <f t="shared" si="34"/>
        <v>-373.9</v>
      </c>
      <c r="G61" s="7">
        <f t="shared" si="35"/>
        <v>0.878095238095238</v>
      </c>
      <c r="H61" s="7">
        <f t="shared" si="36"/>
        <v>0.4504183452122715</v>
      </c>
      <c r="I61" s="5">
        <f t="shared" si="37"/>
        <v>-2186.0897142857143</v>
      </c>
      <c r="J61" s="5">
        <f t="shared" si="38"/>
        <v>130.72648979591833</v>
      </c>
    </row>
    <row r="62" spans="1:10" ht="12.75">
      <c r="A62" s="2">
        <v>3</v>
      </c>
      <c r="B62" s="5">
        <f t="shared" si="30"/>
        <v>0.3</v>
      </c>
      <c r="C62" s="8">
        <f t="shared" si="31"/>
        <v>-0.0007633333333333333</v>
      </c>
      <c r="D62" s="8">
        <f t="shared" si="32"/>
        <v>-0.0028866666666666667</v>
      </c>
      <c r="E62" s="3">
        <f t="shared" si="33"/>
        <v>-152.66666666666666</v>
      </c>
      <c r="F62" s="3">
        <f t="shared" si="34"/>
        <v>-373.9</v>
      </c>
      <c r="G62" s="7">
        <f t="shared" si="35"/>
        <v>0.9066666666666667</v>
      </c>
      <c r="H62" s="7">
        <f t="shared" si="36"/>
        <v>0.4632352941176471</v>
      </c>
      <c r="I62" s="5">
        <f t="shared" si="37"/>
        <v>-2263.9640000000004</v>
      </c>
      <c r="J62" s="5">
        <f t="shared" si="38"/>
        <v>113.06999999999996</v>
      </c>
    </row>
    <row r="63" spans="1:10" ht="12.75">
      <c r="A63" s="2">
        <v>4</v>
      </c>
      <c r="B63" s="5">
        <f t="shared" si="30"/>
        <v>0.4</v>
      </c>
      <c r="C63" s="8">
        <f t="shared" si="31"/>
        <v>-0.0009400000000000001</v>
      </c>
      <c r="D63" s="8">
        <f t="shared" si="32"/>
        <v>-0.00276</v>
      </c>
      <c r="E63" s="3">
        <f t="shared" si="33"/>
        <v>-188.00000000000003</v>
      </c>
      <c r="F63" s="3">
        <f t="shared" si="34"/>
        <v>-373.9</v>
      </c>
      <c r="G63" s="7">
        <f t="shared" si="35"/>
        <v>0.9314285714285715</v>
      </c>
      <c r="H63" s="7">
        <f t="shared" si="36"/>
        <v>0.47370727432077125</v>
      </c>
      <c r="I63" s="5">
        <f t="shared" si="37"/>
        <v>-2334.2817142857143</v>
      </c>
      <c r="J63" s="5">
        <f t="shared" si="38"/>
        <v>97.0327755102041</v>
      </c>
    </row>
    <row r="64" spans="1:10" ht="12.75">
      <c r="A64" s="2">
        <v>5</v>
      </c>
      <c r="B64" s="5">
        <f t="shared" si="30"/>
        <v>0.5</v>
      </c>
      <c r="C64" s="8">
        <f t="shared" si="31"/>
        <v>-0.0011166666666666666</v>
      </c>
      <c r="D64" s="8">
        <f t="shared" si="32"/>
        <v>-0.0026333333333333334</v>
      </c>
      <c r="E64" s="3">
        <f t="shared" si="33"/>
        <v>-223.33333333333331</v>
      </c>
      <c r="F64" s="3">
        <f t="shared" si="34"/>
        <v>-373.9</v>
      </c>
      <c r="G64" s="7">
        <f t="shared" si="35"/>
        <v>0.9523809523809523</v>
      </c>
      <c r="H64" s="7">
        <f t="shared" si="36"/>
        <v>0.4821428571428572</v>
      </c>
      <c r="I64" s="5">
        <f t="shared" si="37"/>
        <v>-2397.042857142857</v>
      </c>
      <c r="J64" s="5">
        <f t="shared" si="38"/>
        <v>82.61481632653056</v>
      </c>
    </row>
    <row r="65" spans="1:10" ht="12.75">
      <c r="A65" s="2">
        <v>6</v>
      </c>
      <c r="B65" s="5">
        <f t="shared" si="30"/>
        <v>0.6</v>
      </c>
      <c r="C65" s="8">
        <f t="shared" si="31"/>
        <v>-0.0012933333333333332</v>
      </c>
      <c r="D65" s="8">
        <f t="shared" si="32"/>
        <v>-0.002506666666666667</v>
      </c>
      <c r="E65" s="3">
        <f t="shared" si="33"/>
        <v>-258.66666666666663</v>
      </c>
      <c r="F65" s="3">
        <f t="shared" si="34"/>
        <v>-373.9</v>
      </c>
      <c r="G65" s="7">
        <f t="shared" si="35"/>
        <v>0.9695238095238096</v>
      </c>
      <c r="H65" s="7">
        <f t="shared" si="36"/>
        <v>0.4887735054729161</v>
      </c>
      <c r="I65" s="5">
        <f t="shared" si="37"/>
        <v>-2452.2474285714284</v>
      </c>
      <c r="J65" s="5">
        <f t="shared" si="38"/>
        <v>69.81612244897958</v>
      </c>
    </row>
    <row r="66" spans="1:10" ht="12.75">
      <c r="A66" s="2">
        <v>7</v>
      </c>
      <c r="B66" s="5">
        <f t="shared" si="30"/>
        <v>0.7</v>
      </c>
      <c r="C66" s="8">
        <f t="shared" si="31"/>
        <v>-0.00147</v>
      </c>
      <c r="D66" s="8">
        <f t="shared" si="32"/>
        <v>-0.0023799999999999997</v>
      </c>
      <c r="E66" s="3">
        <f t="shared" si="33"/>
        <v>-294</v>
      </c>
      <c r="F66" s="3">
        <f t="shared" si="34"/>
        <v>-373.9</v>
      </c>
      <c r="G66" s="7">
        <f t="shared" si="35"/>
        <v>0.9828571428571429</v>
      </c>
      <c r="H66" s="7">
        <f t="shared" si="36"/>
        <v>0.4937707641196013</v>
      </c>
      <c r="I66" s="5">
        <f t="shared" si="37"/>
        <v>-2499.895428571429</v>
      </c>
      <c r="J66" s="5">
        <f t="shared" si="38"/>
        <v>58.636693877551025</v>
      </c>
    </row>
    <row r="67" spans="1:10" ht="12.75">
      <c r="A67" s="2">
        <v>8</v>
      </c>
      <c r="B67" s="5">
        <f t="shared" si="30"/>
        <v>0.8</v>
      </c>
      <c r="C67" s="8">
        <f t="shared" si="31"/>
        <v>-0.0016466666666666667</v>
      </c>
      <c r="D67" s="8">
        <f t="shared" si="32"/>
        <v>-0.0022533333333333333</v>
      </c>
      <c r="E67" s="3">
        <f t="shared" si="33"/>
        <v>-329.33333333333337</v>
      </c>
      <c r="F67" s="3">
        <f t="shared" si="34"/>
        <v>-373.9</v>
      </c>
      <c r="G67" s="7">
        <f t="shared" si="35"/>
        <v>0.9923809523809524</v>
      </c>
      <c r="H67" s="7">
        <f t="shared" si="36"/>
        <v>0.49725802029064986</v>
      </c>
      <c r="I67" s="5">
        <f t="shared" si="37"/>
        <v>-2539.986857142857</v>
      </c>
      <c r="J67" s="5">
        <f t="shared" si="38"/>
        <v>49.07653061224485</v>
      </c>
    </row>
    <row r="68" spans="1:10" ht="12.75">
      <c r="A68" s="2">
        <v>9</v>
      </c>
      <c r="B68" s="5">
        <f t="shared" si="30"/>
        <v>0.9</v>
      </c>
      <c r="C68" s="8">
        <f t="shared" si="31"/>
        <v>-0.0018233333333333335</v>
      </c>
      <c r="D68" s="8">
        <f t="shared" si="32"/>
        <v>-0.0021266666666666665</v>
      </c>
      <c r="E68" s="3">
        <f t="shared" si="33"/>
        <v>-364.6666666666667</v>
      </c>
      <c r="F68" s="3">
        <f t="shared" si="34"/>
        <v>-373.9</v>
      </c>
      <c r="G68" s="7">
        <f t="shared" si="35"/>
        <v>0.9980952380952381</v>
      </c>
      <c r="H68" s="7">
        <f t="shared" si="36"/>
        <v>0.49931842966194107</v>
      </c>
      <c r="I68" s="5">
        <f t="shared" si="37"/>
        <v>-2572.521714285714</v>
      </c>
      <c r="J68" s="5">
        <f t="shared" si="38"/>
        <v>41.1356326530613</v>
      </c>
    </row>
    <row r="69" spans="1:10" ht="12.75">
      <c r="A69" s="2">
        <v>10</v>
      </c>
      <c r="B69" s="5">
        <v>1</v>
      </c>
      <c r="C69" s="8">
        <f t="shared" si="31"/>
        <v>-0.002</v>
      </c>
      <c r="D69" s="8">
        <f t="shared" si="32"/>
        <v>-0.002</v>
      </c>
      <c r="E69" s="3">
        <f t="shared" si="33"/>
        <v>-373.9</v>
      </c>
      <c r="F69" s="3">
        <f t="shared" si="34"/>
        <v>-373.9</v>
      </c>
      <c r="G69" s="7">
        <f t="shared" si="35"/>
        <v>1</v>
      </c>
      <c r="H69" s="7">
        <f t="shared" si="36"/>
        <v>0.5</v>
      </c>
      <c r="I69" s="5">
        <f t="shared" si="37"/>
        <v>-2581.84</v>
      </c>
      <c r="J69" s="5">
        <f t="shared" si="38"/>
        <v>38.885600000000004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176</v>
      </c>
    </row>
    <row r="2" ht="12.75">
      <c r="A2" s="1" t="s">
        <v>119</v>
      </c>
    </row>
    <row r="4" spans="1:7" ht="12.75">
      <c r="A4" s="2" t="s">
        <v>35</v>
      </c>
      <c r="B4" s="2" t="s">
        <v>126</v>
      </c>
      <c r="C4" s="2"/>
      <c r="D4" s="2" t="s">
        <v>35</v>
      </c>
      <c r="E4" s="2" t="s">
        <v>127</v>
      </c>
      <c r="F4" s="2"/>
      <c r="G4" s="20" t="s">
        <v>127</v>
      </c>
    </row>
    <row r="5" spans="1:7" ht="12.75">
      <c r="A5" s="14">
        <f>'Es 22+'!I16</f>
        <v>598.24</v>
      </c>
      <c r="B5" s="14">
        <f>'Es 22+'!J16</f>
        <v>38.885600000000004</v>
      </c>
      <c r="C5" s="30"/>
      <c r="D5" s="14">
        <f>'Es 22-'!I16</f>
        <v>598.24</v>
      </c>
      <c r="E5" s="14">
        <f aca="true" t="shared" si="0" ref="E5:E17">-G5</f>
        <v>38.885600000000004</v>
      </c>
      <c r="F5" s="30"/>
      <c r="G5" s="14">
        <f>'Es 22-'!J16</f>
        <v>-38.885600000000004</v>
      </c>
    </row>
    <row r="6" spans="1:7" ht="12.75">
      <c r="A6" s="5">
        <f>'Es 22+'!I17</f>
        <v>584.2841381879132</v>
      </c>
      <c r="B6" s="5">
        <f>'Es 22+'!J17</f>
        <v>43.04208668526708</v>
      </c>
      <c r="D6" s="5">
        <f>'Es 22-'!I17</f>
        <v>584.2841381879132</v>
      </c>
      <c r="E6" s="5">
        <f t="shared" si="0"/>
        <v>34.72911331473293</v>
      </c>
      <c r="G6" s="5">
        <f>'Es 22-'!J17</f>
        <v>-34.72911331473293</v>
      </c>
    </row>
    <row r="7" spans="1:7" ht="12.75">
      <c r="A7" s="5">
        <f>'Es 22+'!I18</f>
        <v>570.3282763758264</v>
      </c>
      <c r="B7" s="5">
        <f>'Es 22+'!J18</f>
        <v>47.13802965381625</v>
      </c>
      <c r="D7" s="5">
        <f>'Es 22-'!I18</f>
        <v>570.3282763758264</v>
      </c>
      <c r="E7" s="5">
        <f t="shared" si="0"/>
        <v>30.633170346183768</v>
      </c>
      <c r="G7" s="5">
        <f>'Es 22-'!J18</f>
        <v>-30.633170346183768</v>
      </c>
    </row>
    <row r="8" spans="1:7" ht="12.75">
      <c r="A8" s="5">
        <f>'Es 22+'!I19</f>
        <v>556.3724145637395</v>
      </c>
      <c r="B8" s="5">
        <f>'Es 22+'!J19</f>
        <v>51.1734289056475</v>
      </c>
      <c r="D8" s="5">
        <f>'Es 22-'!I19</f>
        <v>556.3724145637395</v>
      </c>
      <c r="E8" s="5">
        <f t="shared" si="0"/>
        <v>26.597771094352517</v>
      </c>
      <c r="G8" s="5">
        <f>'Es 22-'!J19</f>
        <v>-26.597771094352517</v>
      </c>
    </row>
    <row r="9" spans="1:7" ht="12.75">
      <c r="A9" s="5">
        <f>'Es 22+'!I20</f>
        <v>542.4165527516528</v>
      </c>
      <c r="B9" s="5">
        <f>'Es 22+'!J20</f>
        <v>55.148284440760825</v>
      </c>
      <c r="D9" s="5">
        <f>'Es 22-'!I20</f>
        <v>542.4165527516528</v>
      </c>
      <c r="E9" s="5">
        <f t="shared" si="0"/>
        <v>22.622915559239182</v>
      </c>
      <c r="G9" s="5">
        <f>'Es 22-'!J20</f>
        <v>-22.622915559239182</v>
      </c>
    </row>
    <row r="10" spans="1:7" ht="12.75">
      <c r="A10" s="14">
        <f>'Es 22+'!I21</f>
        <v>528.4606909395661</v>
      </c>
      <c r="B10" s="14">
        <f>'Es 22+'!J21</f>
        <v>59.06259625915622</v>
      </c>
      <c r="C10" s="30"/>
      <c r="D10" s="14">
        <f>'Es 22-'!I21</f>
        <v>528.4606909395661</v>
      </c>
      <c r="E10" s="14">
        <f t="shared" si="0"/>
        <v>18.7086037408438</v>
      </c>
      <c r="F10" s="30"/>
      <c r="G10" s="14">
        <f>'Es 22-'!J21</f>
        <v>-18.7086037408438</v>
      </c>
    </row>
    <row r="11" spans="1:7" ht="12.75">
      <c r="A11" s="5">
        <f>'Es 22+'!I25</f>
        <v>293.8602210716849</v>
      </c>
      <c r="B11" s="5">
        <f>'Es 22+'!J25</f>
        <v>120.48547035481526</v>
      </c>
      <c r="D11" s="5">
        <f>'Es 22-'!I25</f>
        <v>158.79527215859574</v>
      </c>
      <c r="E11" s="5">
        <f t="shared" si="0"/>
        <v>-77.83115707221845</v>
      </c>
      <c r="G11" s="5">
        <f>'Es 22-'!J25</f>
        <v>77.83115707221845</v>
      </c>
    </row>
    <row r="12" spans="1:7" ht="12.75">
      <c r="A12" s="5">
        <f>'Es 22+'!I26</f>
        <v>156.18713880868648</v>
      </c>
      <c r="B12" s="5">
        <f>'Es 22+'!J26</f>
        <v>156.38884908051162</v>
      </c>
      <c r="D12" s="5">
        <f>'Es 22-'!I26</f>
        <v>-49.32450061423665</v>
      </c>
      <c r="E12" s="5">
        <f t="shared" si="0"/>
        <v>-132.05067533047162</v>
      </c>
      <c r="G12" s="5">
        <f>'Es 22-'!J26</f>
        <v>132.05067533047162</v>
      </c>
    </row>
    <row r="13" spans="1:7" ht="12.75">
      <c r="A13" s="5">
        <f>'Es 22+'!I27</f>
        <v>59.3101807331379</v>
      </c>
      <c r="B13" s="5">
        <f>'Es 22+'!J27</f>
        <v>181.36686092477788</v>
      </c>
      <c r="D13" s="5">
        <f>'Es 22-'!I27</f>
        <v>-189.45073307465273</v>
      </c>
      <c r="E13" s="5">
        <f t="shared" si="0"/>
        <v>-168.2734985148034</v>
      </c>
      <c r="G13" s="5">
        <f>'Es 22-'!J27</f>
        <v>168.2734985148034</v>
      </c>
    </row>
    <row r="14" spans="1:7" ht="12.75">
      <c r="A14" s="5">
        <f>'Es 22+'!I28</f>
        <v>-16.57332857788442</v>
      </c>
      <c r="B14" s="5">
        <f>'Es 22+'!J28</f>
        <v>200.56820149757417</v>
      </c>
      <c r="D14" s="5">
        <f>'Es 22-'!I28</f>
        <v>-294.58788426085823</v>
      </c>
      <c r="E14" s="5">
        <f t="shared" si="0"/>
        <v>-195.08078597514734</v>
      </c>
      <c r="G14" s="5">
        <f>'Es 22-'!J28</f>
        <v>195.08078597514734</v>
      </c>
    </row>
    <row r="15" spans="1:7" ht="12.75">
      <c r="A15" s="14">
        <f>'Es 22+'!I29</f>
        <v>-80.23454155167119</v>
      </c>
      <c r="B15" s="14">
        <f>'Es 22+'!J29</f>
        <v>216.27337042999602</v>
      </c>
      <c r="C15" s="30"/>
      <c r="D15" s="14">
        <f>'Es 22-'!I29</f>
        <v>-379.35454155167116</v>
      </c>
      <c r="E15" s="14">
        <f t="shared" si="0"/>
        <v>-216.273370429996</v>
      </c>
      <c r="F15" s="30"/>
      <c r="G15" s="14">
        <f>'Es 22-'!J29</f>
        <v>216.273370429996</v>
      </c>
    </row>
    <row r="16" spans="1:7" ht="12.75">
      <c r="A16" s="5">
        <f>'Es 22+'!I33</f>
        <v>-154.94612008111153</v>
      </c>
      <c r="B16" s="5">
        <f>'Es 22+'!J33</f>
        <v>232.4824497478585</v>
      </c>
      <c r="D16" s="5">
        <f>'Es 22-'!I33</f>
        <v>-454.0661200811116</v>
      </c>
      <c r="E16" s="5">
        <f t="shared" si="0"/>
        <v>-232.4824497478585</v>
      </c>
      <c r="G16" s="5">
        <f>'Es 22-'!J33</f>
        <v>232.4824497478585</v>
      </c>
    </row>
    <row r="17" spans="1:7" ht="12.75">
      <c r="A17" s="5">
        <f>'Es 22+'!I34</f>
        <v>-229.6576986105519</v>
      </c>
      <c r="B17" s="5">
        <f>'Es 22+'!J34</f>
        <v>246.9564008098612</v>
      </c>
      <c r="D17" s="5">
        <f>'Es 22-'!I34</f>
        <v>-528.7776986105521</v>
      </c>
      <c r="E17" s="5">
        <f t="shared" si="0"/>
        <v>-246.9564008098612</v>
      </c>
      <c r="G17" s="5">
        <f>'Es 22-'!J34</f>
        <v>246.9564008098612</v>
      </c>
    </row>
    <row r="18" spans="1:7" ht="12.75">
      <c r="A18" s="5">
        <f>'Es 22+'!I35</f>
        <v>-304.3692771399923</v>
      </c>
      <c r="B18" s="5">
        <f>'Es 22+'!J35</f>
        <v>259.6952236160041</v>
      </c>
      <c r="D18" s="5">
        <f>'Es 22-'!I35</f>
        <v>-603.4892771399924</v>
      </c>
      <c r="E18" s="5">
        <f aca="true" t="shared" si="1" ref="E18:E25">-G18</f>
        <v>-259.6952236160041</v>
      </c>
      <c r="G18" s="5">
        <f>'Es 22-'!J35</f>
        <v>259.6952236160041</v>
      </c>
    </row>
    <row r="19" spans="1:7" ht="12.75">
      <c r="A19" s="5">
        <f>'Es 22+'!I36</f>
        <v>-379.08085566943265</v>
      </c>
      <c r="B19" s="5">
        <f>'Es 22+'!J36</f>
        <v>270.6989181662872</v>
      </c>
      <c r="D19" s="5">
        <f>'Es 22-'!I36</f>
        <v>-678.2008556694327</v>
      </c>
      <c r="E19" s="5">
        <f t="shared" si="1"/>
        <v>-270.6989181662872</v>
      </c>
      <c r="G19" s="5">
        <f>'Es 22-'!J36</f>
        <v>270.6989181662872</v>
      </c>
    </row>
    <row r="20" spans="1:7" ht="12.75">
      <c r="A20" s="5">
        <f>'Es 22+'!I37</f>
        <v>-453.7924341988731</v>
      </c>
      <c r="B20" s="5">
        <f>'Es 22+'!J37</f>
        <v>279.9674844607106</v>
      </c>
      <c r="D20" s="5">
        <f>'Es 22-'!I37</f>
        <v>-752.9124341988731</v>
      </c>
      <c r="E20" s="5">
        <f t="shared" si="1"/>
        <v>-279.9674844607106</v>
      </c>
      <c r="G20" s="5">
        <f>'Es 22-'!J37</f>
        <v>279.9674844607106</v>
      </c>
    </row>
    <row r="21" spans="1:7" ht="12.75">
      <c r="A21" s="5">
        <f>'Es 22+'!I38</f>
        <v>-528.5040127283135</v>
      </c>
      <c r="B21" s="5">
        <f>'Es 22+'!J38</f>
        <v>287.5009224992741</v>
      </c>
      <c r="D21" s="5">
        <f>'Es 22-'!I38</f>
        <v>-827.6240127283133</v>
      </c>
      <c r="E21" s="5">
        <f t="shared" si="1"/>
        <v>-287.5009224992741</v>
      </c>
      <c r="G21" s="5">
        <f>'Es 22-'!J38</f>
        <v>287.5009224992741</v>
      </c>
    </row>
    <row r="22" spans="1:7" ht="12.75">
      <c r="A22" s="5">
        <f>'Es 22+'!I39</f>
        <v>-603.2155912577538</v>
      </c>
      <c r="B22" s="5">
        <f>'Es 22+'!J39</f>
        <v>293.2992322819779</v>
      </c>
      <c r="D22" s="5">
        <f>'Es 22-'!I39</f>
        <v>-902.3355912577539</v>
      </c>
      <c r="E22" s="5">
        <f t="shared" si="1"/>
        <v>-293.2992322819779</v>
      </c>
      <c r="G22" s="5">
        <f>'Es 22-'!J39</f>
        <v>293.2992322819779</v>
      </c>
    </row>
    <row r="23" spans="1:7" ht="12.75">
      <c r="A23" s="5">
        <f>'Es 22+'!I40</f>
        <v>-677.9271697871942</v>
      </c>
      <c r="B23" s="5">
        <f>'Es 22+'!J40</f>
        <v>297.3624138088219</v>
      </c>
      <c r="D23" s="5">
        <f>'Es 22-'!I40</f>
        <v>-977.0471697871942</v>
      </c>
      <c r="E23" s="5">
        <f t="shared" si="1"/>
        <v>-297.3624138088219</v>
      </c>
      <c r="G23" s="5">
        <f>'Es 22-'!J40</f>
        <v>297.3624138088219</v>
      </c>
    </row>
    <row r="24" spans="1:7" ht="12.75">
      <c r="A24" s="5">
        <f>'Es 22+'!I41</f>
        <v>-752.6387483166343</v>
      </c>
      <c r="B24" s="5">
        <f>'Es 22+'!J41</f>
        <v>299.690467079806</v>
      </c>
      <c r="D24" s="5">
        <f>'Es 22-'!I41</f>
        <v>-1051.7587483166344</v>
      </c>
      <c r="E24" s="5">
        <f t="shared" si="1"/>
        <v>-299.690467079806</v>
      </c>
      <c r="G24" s="5">
        <f>'Es 22-'!J41</f>
        <v>299.690467079806</v>
      </c>
    </row>
    <row r="25" spans="1:7" s="30" customFormat="1" ht="12.75">
      <c r="A25" s="14">
        <f>'Es 22+'!I42</f>
        <v>-827.3503268460748</v>
      </c>
      <c r="B25" s="14">
        <f>'Es 22+'!J42</f>
        <v>300.2833920949305</v>
      </c>
      <c r="D25" s="14">
        <f>'Es 22-'!I42</f>
        <v>-1126.4703268460748</v>
      </c>
      <c r="E25" s="14">
        <f t="shared" si="1"/>
        <v>-300.2833920949305</v>
      </c>
      <c r="G25" s="14">
        <f>'Es 22-'!J42</f>
        <v>300.2833920949305</v>
      </c>
    </row>
    <row r="26" spans="1:7" ht="12.75">
      <c r="A26" s="5">
        <f>'Es 22+'!I46</f>
        <v>-955.18510515208</v>
      </c>
      <c r="B26" s="5">
        <f>'Es 22+'!J46</f>
        <v>282.5509091977513</v>
      </c>
      <c r="D26" s="5">
        <f>'Es 22-'!I46</f>
        <v>-1228.325637898692</v>
      </c>
      <c r="E26" s="5">
        <f>-G26</f>
        <v>-289.30557068363214</v>
      </c>
      <c r="G26" s="5">
        <f>'Es 22-'!J46</f>
        <v>289.30557068363214</v>
      </c>
    </row>
    <row r="27" spans="1:7" ht="12.75">
      <c r="A27" s="5">
        <f>'Es 22+'!I47</f>
        <v>-1075.6118237037972</v>
      </c>
      <c r="B27" s="5">
        <f>'Es 22+'!J47</f>
        <v>265.5152010597083</v>
      </c>
      <c r="D27" s="5">
        <f>'Es 22-'!I47</f>
        <v>-1325.7361130987367</v>
      </c>
      <c r="E27" s="5">
        <f>-G27</f>
        <v>-278.25408581702413</v>
      </c>
      <c r="G27" s="5">
        <f>'Es 22-'!J47</f>
        <v>278.25408581702413</v>
      </c>
    </row>
    <row r="28" spans="1:7" ht="12.75">
      <c r="A28" s="5">
        <f>'Es 22+'!I48</f>
        <v>-1189.8295471610304</v>
      </c>
      <c r="B28" s="5">
        <f>'Es 22+'!J48</f>
        <v>248.86451086925248</v>
      </c>
      <c r="D28" s="5">
        <f>'Es 22-'!I48</f>
        <v>-1419.4211912420908</v>
      </c>
      <c r="E28" s="5">
        <f aca="true" t="shared" si="2" ref="E28:E35">-G28</f>
        <v>-266.94188340817686</v>
      </c>
      <c r="G28" s="5">
        <f>'Es 22-'!J48</f>
        <v>266.94188340817686</v>
      </c>
    </row>
    <row r="29" spans="1:7" ht="12.75">
      <c r="A29" s="5">
        <f>'Es 22+'!I49</f>
        <v>-1298.7918138059147</v>
      </c>
      <c r="B29" s="5">
        <f>'Es 22+'!J49</f>
        <v>232.35091867302899</v>
      </c>
      <c r="D29" s="5">
        <f>'Es 22-'!I49</f>
        <v>-1509.9529952980354</v>
      </c>
      <c r="E29" s="5">
        <f t="shared" si="2"/>
        <v>-255.22021148507764</v>
      </c>
      <c r="G29" s="5">
        <f>'Es 22-'!J49</f>
        <v>255.22021148507764</v>
      </c>
    </row>
    <row r="30" spans="1:7" ht="12.75">
      <c r="A30" s="5">
        <f>'Es 22+'!I50</f>
        <v>-1403.2664191333809</v>
      </c>
      <c r="B30" s="5">
        <f>'Es 22+'!J50</f>
        <v>215.77479764235548</v>
      </c>
      <c r="D30" s="5">
        <f>'Es 22-'!I50</f>
        <v>-1597.7922025635291</v>
      </c>
      <c r="E30" s="5">
        <f t="shared" si="2"/>
        <v>-242.9692939505169</v>
      </c>
      <c r="G30" s="5">
        <f>'Es 22-'!J50</f>
        <v>242.9692939505169</v>
      </c>
    </row>
    <row r="31" spans="1:7" ht="12.75">
      <c r="A31" s="5">
        <f>'Es 22+'!I51</f>
        <v>-1503.8785424521036</v>
      </c>
      <c r="B31" s="5">
        <f>'Es 22+'!J51</f>
        <v>198.97360115697666</v>
      </c>
      <c r="D31" s="5">
        <f>'Es 22-'!I51</f>
        <v>-1683.313920623777</v>
      </c>
      <c r="E31" s="5">
        <f t="shared" si="2"/>
        <v>-230.09160283234158</v>
      </c>
      <c r="G31" s="5">
        <f>'Es 22-'!J51</f>
        <v>230.09160283234158</v>
      </c>
    </row>
    <row r="32" spans="1:7" ht="12.75">
      <c r="A32" s="5">
        <f>'Es 22+'!I52</f>
        <v>-1601.1423907145306</v>
      </c>
      <c r="B32" s="5">
        <f>'Es 22+'!J52</f>
        <v>181.81363540925597</v>
      </c>
      <c r="D32" s="5">
        <f>'Es 22-'!I52</f>
        <v>-1766.8266736502476</v>
      </c>
      <c r="E32" s="5">
        <f t="shared" si="2"/>
        <v>-216.50692184596969</v>
      </c>
      <c r="G32" s="5">
        <f>'Es 22-'!J52</f>
        <v>216.50692184596969</v>
      </c>
    </row>
    <row r="33" spans="1:7" ht="12.75">
      <c r="A33" s="5">
        <f>'Es 22+'!I53</f>
        <v>-1695.484774947806</v>
      </c>
      <c r="B33" s="5">
        <f>'Es 22+'!J53</f>
        <v>164.18392953213632</v>
      </c>
      <c r="D33" s="5">
        <f>'Es 22-'!I53</f>
        <v>-1848.5865482592267</v>
      </c>
      <c r="E33" s="5">
        <f t="shared" si="2"/>
        <v>-202.14866847116699</v>
      </c>
      <c r="G33" s="5">
        <f>'Es 22-'!J53</f>
        <v>202.14866847116699</v>
      </c>
    </row>
    <row r="34" spans="1:7" ht="12.75">
      <c r="A34" s="5">
        <f>'Es 22+'!I54</f>
        <v>-1787.2629210065243</v>
      </c>
      <c r="B34" s="5">
        <f>'Es 22+'!J54</f>
        <v>145.99160480342283</v>
      </c>
      <c r="D34" s="5">
        <f>'Es 22-'!I54</f>
        <v>-1928.8078799634718</v>
      </c>
      <c r="E34" s="5">
        <f t="shared" si="2"/>
        <v>-186.96111547461646</v>
      </c>
      <c r="G34" s="5">
        <f>'Es 22-'!J54</f>
        <v>186.96111547461646</v>
      </c>
    </row>
    <row r="35" spans="1:7" s="30" customFormat="1" ht="12.75">
      <c r="A35" s="14">
        <f>'Es 22+'!I55</f>
        <v>-1876.778095238095</v>
      </c>
      <c r="B35" s="14">
        <f>'Es 22+'!J55</f>
        <v>127.15833197278911</v>
      </c>
      <c r="D35" s="14">
        <f>'Es 22-'!I55</f>
        <v>-2007.6714285714284</v>
      </c>
      <c r="E35" s="14">
        <f t="shared" si="2"/>
        <v>-170.89726530612242</v>
      </c>
      <c r="G35" s="14">
        <f>'Es 22-'!J55</f>
        <v>170.89726530612242</v>
      </c>
    </row>
    <row r="36" spans="1:7" ht="12.75">
      <c r="A36" s="5">
        <f>'Es 22+'!I60</f>
        <v>-1983.898857142857</v>
      </c>
      <c r="B36" s="5">
        <f>'Es 22+'!J60</f>
        <v>102.58864489795923</v>
      </c>
      <c r="D36" s="5">
        <f>'Es 22-'!I60</f>
        <v>-2100.6588571428574</v>
      </c>
      <c r="E36" s="5">
        <f aca="true" t="shared" si="3" ref="E36:E45">-G36</f>
        <v>-150.00224489795923</v>
      </c>
      <c r="G36" s="5">
        <f>'Es 22-'!J60</f>
        <v>150.00224489795923</v>
      </c>
    </row>
    <row r="37" spans="1:7" ht="12.75">
      <c r="A37" s="5">
        <f>'Es 22+'!I61</f>
        <v>-2083.4630476190478</v>
      </c>
      <c r="B37" s="5">
        <f>'Es 22+'!J61</f>
        <v>79.63822312925166</v>
      </c>
      <c r="D37" s="5">
        <f>'Es 22-'!I61</f>
        <v>-2186.0897142857143</v>
      </c>
      <c r="E37" s="5">
        <f t="shared" si="3"/>
        <v>-130.72648979591833</v>
      </c>
      <c r="G37" s="5">
        <f>'Es 22-'!J61</f>
        <v>130.72648979591833</v>
      </c>
    </row>
    <row r="38" spans="1:7" ht="12.75">
      <c r="A38" s="5">
        <f>'Es 22+'!I62</f>
        <v>-2175.470666666667</v>
      </c>
      <c r="B38" s="5">
        <f>'Es 22+'!J62</f>
        <v>58.30706666666662</v>
      </c>
      <c r="D38" s="5">
        <f>'Es 22-'!I62</f>
        <v>-2263.9640000000004</v>
      </c>
      <c r="E38" s="5">
        <f t="shared" si="3"/>
        <v>-113.06999999999996</v>
      </c>
      <c r="G38" s="5">
        <f>'Es 22-'!J62</f>
        <v>113.06999999999996</v>
      </c>
    </row>
    <row r="39" spans="1:7" ht="12.75">
      <c r="A39" s="5">
        <f>'Es 22+'!I63</f>
        <v>-2259.9217142857146</v>
      </c>
      <c r="B39" s="5">
        <f>'Es 22+'!J63</f>
        <v>38.595175510204086</v>
      </c>
      <c r="D39" s="5">
        <f>'Es 22-'!I63</f>
        <v>-2334.2817142857143</v>
      </c>
      <c r="E39" s="5">
        <f t="shared" si="3"/>
        <v>-97.0327755102041</v>
      </c>
      <c r="G39" s="5">
        <f>'Es 22-'!J63</f>
        <v>97.0327755102041</v>
      </c>
    </row>
    <row r="40" spans="1:7" ht="12.75">
      <c r="A40" s="5">
        <f>'Es 22+'!I64</f>
        <v>-2336.81619047619</v>
      </c>
      <c r="B40" s="5">
        <f>'Es 22+'!J64</f>
        <v>20.5025496598639</v>
      </c>
      <c r="D40" s="5">
        <f>'Es 22-'!I64</f>
        <v>-2397.042857142857</v>
      </c>
      <c r="E40" s="5">
        <f t="shared" si="3"/>
        <v>-82.61481632653056</v>
      </c>
      <c r="G40" s="5">
        <f>'Es 22-'!J64</f>
        <v>82.61481632653056</v>
      </c>
    </row>
    <row r="41" spans="1:7" ht="12.75">
      <c r="A41" s="5">
        <f>'Es 22+'!I65</f>
        <v>-2406.154095238095</v>
      </c>
      <c r="B41" s="5">
        <f>'Es 22+'!J65</f>
        <v>4.029189115646251</v>
      </c>
      <c r="D41" s="5">
        <f>'Es 22-'!I65</f>
        <v>-2452.2474285714284</v>
      </c>
      <c r="E41" s="5">
        <f t="shared" si="3"/>
        <v>-69.81612244897958</v>
      </c>
      <c r="G41" s="5">
        <f>'Es 22-'!J65</f>
        <v>69.81612244897958</v>
      </c>
    </row>
    <row r="42" spans="1:7" ht="12.75">
      <c r="A42" s="5">
        <f>'Es 22+'!I66</f>
        <v>-2467.935428571429</v>
      </c>
      <c r="B42" s="5">
        <f>'Es 22+'!J66</f>
        <v>-10.824906122448981</v>
      </c>
      <c r="D42" s="5">
        <f>'Es 22-'!I66</f>
        <v>-2499.895428571429</v>
      </c>
      <c r="E42" s="5">
        <f t="shared" si="3"/>
        <v>-58.636693877551025</v>
      </c>
      <c r="G42" s="5">
        <f>'Es 22-'!J66</f>
        <v>58.636693877551025</v>
      </c>
    </row>
    <row r="43" spans="1:7" ht="12.75">
      <c r="A43" s="5">
        <f>'Es 22+'!I67</f>
        <v>-2522.1601904761906</v>
      </c>
      <c r="B43" s="5">
        <f>'Es 22+'!J67</f>
        <v>-24.05973605442183</v>
      </c>
      <c r="D43" s="5">
        <f>'Es 22-'!I67</f>
        <v>-2539.986857142857</v>
      </c>
      <c r="E43" s="5">
        <f t="shared" si="3"/>
        <v>-49.07653061224485</v>
      </c>
      <c r="G43" s="5">
        <f>'Es 22-'!J67</f>
        <v>49.07653061224485</v>
      </c>
    </row>
    <row r="44" spans="1:7" ht="12.75">
      <c r="A44" s="5">
        <f>'Es 22+'!I68</f>
        <v>-2568.828380952381</v>
      </c>
      <c r="B44" s="5">
        <f>'Es 22+'!J68</f>
        <v>-35.675300680272045</v>
      </c>
      <c r="D44" s="5">
        <f>'Es 22-'!I68</f>
        <v>-2572.521714285714</v>
      </c>
      <c r="E44" s="5">
        <f t="shared" si="3"/>
        <v>-41.1356326530613</v>
      </c>
      <c r="G44" s="5">
        <f>'Es 22-'!J68</f>
        <v>41.1356326530613</v>
      </c>
    </row>
    <row r="45" spans="1:7" s="30" customFormat="1" ht="12.75">
      <c r="A45" s="14">
        <f>'Es 22+'!I69</f>
        <v>-2581.84</v>
      </c>
      <c r="B45" s="14">
        <f>'Es 22+'!J69</f>
        <v>-38.885600000000004</v>
      </c>
      <c r="D45" s="14">
        <f>'Es 22-'!I69</f>
        <v>-2581.84</v>
      </c>
      <c r="E45" s="14">
        <f t="shared" si="3"/>
        <v>-38.885600000000004</v>
      </c>
      <c r="G45" s="14">
        <f>'Es 22-'!J69</f>
        <v>38.885600000000004</v>
      </c>
    </row>
    <row r="46" spans="1:7" ht="12.75">
      <c r="A46" s="5"/>
      <c r="B46" s="5"/>
      <c r="D46" s="5"/>
      <c r="E46" s="5"/>
      <c r="G46" s="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202</v>
      </c>
    </row>
    <row r="2" ht="12.75">
      <c r="A2" s="1" t="s">
        <v>186</v>
      </c>
    </row>
    <row r="4" spans="2:4" ht="12.75">
      <c r="B4" s="2"/>
      <c r="C4" s="2"/>
      <c r="D4" s="2"/>
    </row>
    <row r="5" spans="1:10" ht="12.75">
      <c r="A5" s="2" t="s">
        <v>2</v>
      </c>
      <c r="B5" s="2">
        <v>30</v>
      </c>
      <c r="C5" s="41" t="s">
        <v>3</v>
      </c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7" ht="12.75">
      <c r="A6" s="2" t="s">
        <v>6</v>
      </c>
      <c r="B6" s="2">
        <v>70</v>
      </c>
      <c r="C6" s="41" t="s">
        <v>3</v>
      </c>
      <c r="D6" s="2"/>
      <c r="E6" s="15" t="s">
        <v>137</v>
      </c>
      <c r="F6" s="2">
        <v>1.6</v>
      </c>
      <c r="G6" s="2"/>
    </row>
    <row r="7" spans="1:10" ht="12.75">
      <c r="A7" s="2" t="s">
        <v>8</v>
      </c>
      <c r="B7" s="2">
        <v>4</v>
      </c>
      <c r="C7" s="41" t="s">
        <v>3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 t="s">
        <v>81</v>
      </c>
      <c r="B8" s="2">
        <f>B5*B6</f>
        <v>2100</v>
      </c>
      <c r="C8" s="9" t="s">
        <v>5</v>
      </c>
    </row>
    <row r="9" spans="3:5" ht="12.75">
      <c r="C9" s="6"/>
      <c r="D9" s="2"/>
      <c r="E9" s="2" t="s">
        <v>139</v>
      </c>
    </row>
    <row r="10" spans="1:7" ht="12.75">
      <c r="A10" s="2" t="s">
        <v>10</v>
      </c>
      <c r="B10" s="2">
        <v>12</v>
      </c>
      <c r="C10" s="9" t="s">
        <v>5</v>
      </c>
      <c r="E10" s="2" t="s">
        <v>142</v>
      </c>
      <c r="F10" s="2">
        <v>430</v>
      </c>
      <c r="G10" s="9" t="s">
        <v>17</v>
      </c>
    </row>
    <row r="11" spans="1:7" ht="12.75">
      <c r="A11" s="2" t="s">
        <v>12</v>
      </c>
      <c r="B11" s="2">
        <f>B10</f>
        <v>12</v>
      </c>
      <c r="C11" s="9" t="s">
        <v>5</v>
      </c>
      <c r="E11" s="2" t="s">
        <v>16</v>
      </c>
      <c r="F11" s="2">
        <v>200000</v>
      </c>
      <c r="G11" s="9" t="s">
        <v>17</v>
      </c>
    </row>
    <row r="12" spans="5:10" ht="12.75">
      <c r="E12" s="15" t="s">
        <v>141</v>
      </c>
      <c r="F12" s="2">
        <v>1.15</v>
      </c>
      <c r="J12" s="2"/>
    </row>
    <row r="13" spans="1:10" ht="12.75">
      <c r="A13" s="2"/>
      <c r="B13" s="2"/>
      <c r="C13" s="9"/>
      <c r="E13" s="2" t="s">
        <v>140</v>
      </c>
      <c r="F13" s="3">
        <f>ROUND(F10/F12,1)</f>
        <v>373.9</v>
      </c>
      <c r="G13" s="9" t="s">
        <v>17</v>
      </c>
      <c r="J13" s="5"/>
    </row>
    <row r="14" spans="1:10" ht="12.75">
      <c r="A14" s="2" t="s">
        <v>35</v>
      </c>
      <c r="B14" s="2">
        <v>-600</v>
      </c>
      <c r="C14" s="9" t="s">
        <v>30</v>
      </c>
      <c r="E14" s="2"/>
      <c r="F14" s="3"/>
      <c r="G14" s="9"/>
      <c r="J14" s="5"/>
    </row>
    <row r="15" spans="1:12" ht="12.75">
      <c r="A15" s="32"/>
      <c r="B15" s="33"/>
      <c r="C15" s="34"/>
      <c r="D15" s="35"/>
      <c r="E15" s="32"/>
      <c r="F15" s="33"/>
      <c r="G15" s="32"/>
      <c r="H15" s="35"/>
      <c r="I15" s="35"/>
      <c r="J15" s="35"/>
      <c r="K15" s="35"/>
      <c r="L15" s="35"/>
    </row>
    <row r="17" spans="1:12" ht="12.75">
      <c r="A17" s="32" t="s">
        <v>198</v>
      </c>
      <c r="B17" s="33">
        <f>B8*F7/10</f>
        <v>2314.2</v>
      </c>
      <c r="C17" s="9" t="s">
        <v>30</v>
      </c>
      <c r="D17" s="33"/>
      <c r="E17" s="15" t="s">
        <v>199</v>
      </c>
      <c r="F17" s="6">
        <f>289/594</f>
        <v>0.48653198653198654</v>
      </c>
      <c r="H17" s="32" t="s">
        <v>208</v>
      </c>
      <c r="I17" s="33">
        <f>289/2376*B8*B6*F7/1000</f>
        <v>197.03815656565658</v>
      </c>
      <c r="J17" s="9" t="s">
        <v>24</v>
      </c>
      <c r="K17" s="35"/>
      <c r="L17" s="35"/>
    </row>
    <row r="18" spans="1:12" ht="12.75">
      <c r="A18" s="32" t="s">
        <v>207</v>
      </c>
      <c r="B18" s="33">
        <f>2*B10*F13/10</f>
        <v>897.3599999999999</v>
      </c>
      <c r="C18" s="9" t="s">
        <v>30</v>
      </c>
      <c r="D18" s="33"/>
      <c r="H18" s="32" t="s">
        <v>209</v>
      </c>
      <c r="I18" s="33">
        <f>B10*(B6-2*B7)*F13/1000</f>
        <v>278.1816</v>
      </c>
      <c r="J18" s="9" t="s">
        <v>24</v>
      </c>
      <c r="K18" s="35"/>
      <c r="L18" s="35"/>
    </row>
    <row r="19" spans="1:12" ht="12.75">
      <c r="A19" s="32"/>
      <c r="B19" s="36"/>
      <c r="C19" s="36"/>
      <c r="D19" s="33"/>
      <c r="E19" s="33"/>
      <c r="F19" s="37"/>
      <c r="G19" s="37"/>
      <c r="H19" s="38"/>
      <c r="I19" s="37"/>
      <c r="J19" s="37"/>
      <c r="K19" s="35"/>
      <c r="L19" s="35"/>
    </row>
    <row r="20" spans="1:12" s="31" customFormat="1" ht="12.75">
      <c r="A20" s="32" t="s">
        <v>189</v>
      </c>
      <c r="B20" s="38">
        <f>1+F17*B17/(F17*B17+B18)</f>
        <v>1.5564852445214554</v>
      </c>
      <c r="C20" s="35"/>
      <c r="D20" s="38"/>
      <c r="E20" s="38"/>
      <c r="F20" s="38"/>
      <c r="G20" s="32"/>
      <c r="H20" s="32"/>
      <c r="I20" s="32"/>
      <c r="J20" s="37"/>
      <c r="K20" s="35"/>
      <c r="L20" s="35"/>
    </row>
    <row r="21" spans="1:12" ht="12.75">
      <c r="A21" s="32" t="s">
        <v>174</v>
      </c>
      <c r="B21" s="33">
        <f>(I17+I18)*(1-(ABS(B14+F17*B17)/(F17*B17+B18))^B20)</f>
        <v>416.85506570222594</v>
      </c>
      <c r="C21" s="9" t="s">
        <v>24</v>
      </c>
      <c r="D21" s="33"/>
      <c r="E21" s="33"/>
      <c r="F21" s="37"/>
      <c r="G21" s="37"/>
      <c r="H21" s="38"/>
      <c r="I21" s="37"/>
      <c r="J21" s="37"/>
      <c r="K21" s="35"/>
      <c r="L21" s="35"/>
    </row>
    <row r="23" spans="1:12" ht="12.75">
      <c r="A23" s="39" t="s">
        <v>190</v>
      </c>
      <c r="B23" s="36"/>
      <c r="C23" s="36" t="str">
        <f>IF(B14&gt;0,"si","no")</f>
        <v>no</v>
      </c>
      <c r="E23" s="33" t="s">
        <v>174</v>
      </c>
      <c r="F23" s="33">
        <f>I18*(1-B14/B18)</f>
        <v>464.1816</v>
      </c>
      <c r="G23" s="9" t="s">
        <v>24</v>
      </c>
      <c r="H23" s="38"/>
      <c r="I23" s="37"/>
      <c r="J23" s="37"/>
      <c r="K23" s="35"/>
      <c r="L23" s="35"/>
    </row>
    <row r="24" spans="1:10" ht="12.75">
      <c r="A24" s="39" t="s">
        <v>191</v>
      </c>
      <c r="B24" s="35"/>
      <c r="C24" s="32" t="str">
        <f>IF(AND(B14&lt;0,-B14&lt;B17),"si","no")</f>
        <v>si</v>
      </c>
      <c r="D24" s="35"/>
      <c r="E24" s="33" t="s">
        <v>174</v>
      </c>
      <c r="F24" s="33">
        <f>I17*(1-((F17*B17-ABS(B14))/(F17*B17))^2)+I18</f>
        <v>432.22797054992816</v>
      </c>
      <c r="G24" s="9" t="s">
        <v>24</v>
      </c>
      <c r="H24" s="35"/>
      <c r="I24" s="35"/>
      <c r="J24" s="35"/>
    </row>
    <row r="25" spans="1:10" ht="12.75">
      <c r="A25" s="39" t="s">
        <v>192</v>
      </c>
      <c r="C25" s="2" t="str">
        <f>IF(AND(B14&lt;0,-B14&gt;=B17),"si","no")</f>
        <v>no</v>
      </c>
      <c r="E25" s="33" t="s">
        <v>174</v>
      </c>
      <c r="F25" s="3">
        <f>(I17+I18)*(1-(ABS(-B14-B17)/(B17+B18))^J25)</f>
        <v>292.12905771383396</v>
      </c>
      <c r="G25" s="9" t="s">
        <v>24</v>
      </c>
      <c r="I25" s="2" t="s">
        <v>21</v>
      </c>
      <c r="J25" s="7">
        <f>1+(B17/(B17+B18))^2</f>
        <v>1.5192418615193484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201</v>
      </c>
    </row>
    <row r="2" ht="12.75">
      <c r="A2" s="1" t="s">
        <v>200</v>
      </c>
    </row>
    <row r="4" spans="2:4" ht="12.75">
      <c r="B4" s="2"/>
      <c r="C4" s="2"/>
      <c r="D4" s="2"/>
    </row>
    <row r="5" spans="1:10" ht="12.75">
      <c r="A5" s="2" t="s">
        <v>203</v>
      </c>
      <c r="B5" s="2">
        <v>40</v>
      </c>
      <c r="C5" s="41" t="s">
        <v>3</v>
      </c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7" ht="12.75">
      <c r="A6" s="2" t="s">
        <v>6</v>
      </c>
      <c r="B6" s="2">
        <f>B5</f>
        <v>40</v>
      </c>
      <c r="C6" s="41" t="s">
        <v>3</v>
      </c>
      <c r="D6" s="2"/>
      <c r="E6" s="15" t="s">
        <v>137</v>
      </c>
      <c r="F6" s="2">
        <v>1.6</v>
      </c>
      <c r="G6" s="2"/>
    </row>
    <row r="7" spans="1:10" ht="12.75">
      <c r="A7" s="2" t="s">
        <v>8</v>
      </c>
      <c r="B7" s="2">
        <v>4</v>
      </c>
      <c r="C7" s="41" t="s">
        <v>3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 t="s">
        <v>81</v>
      </c>
      <c r="B8" s="3">
        <f>PI()*B5^2/4</f>
        <v>1256.6370614359173</v>
      </c>
      <c r="C8" s="9" t="s">
        <v>5</v>
      </c>
    </row>
    <row r="9" spans="3:5" ht="12.75">
      <c r="C9" s="6"/>
      <c r="D9" s="2"/>
      <c r="E9" s="2" t="s">
        <v>139</v>
      </c>
    </row>
    <row r="10" spans="1:7" ht="12.75">
      <c r="A10" s="2" t="s">
        <v>204</v>
      </c>
      <c r="B10" s="2">
        <v>16</v>
      </c>
      <c r="C10" s="9" t="s">
        <v>5</v>
      </c>
      <c r="E10" s="2" t="s">
        <v>142</v>
      </c>
      <c r="F10" s="2">
        <v>430</v>
      </c>
      <c r="G10" s="9" t="s">
        <v>17</v>
      </c>
    </row>
    <row r="11" spans="1:7" ht="12.75">
      <c r="A11" s="15" t="s">
        <v>205</v>
      </c>
      <c r="B11" s="38">
        <f>B10/B8*F13/F7</f>
        <v>0.43200024117647673</v>
      </c>
      <c r="C11" s="9"/>
      <c r="E11" s="2" t="s">
        <v>16</v>
      </c>
      <c r="F11" s="2">
        <v>200000</v>
      </c>
      <c r="G11" s="9" t="s">
        <v>17</v>
      </c>
    </row>
    <row r="12" spans="5:10" ht="12.75">
      <c r="E12" s="15" t="s">
        <v>141</v>
      </c>
      <c r="F12" s="2">
        <v>1.15</v>
      </c>
      <c r="J12" s="2"/>
    </row>
    <row r="13" spans="1:10" ht="12.75">
      <c r="A13" s="2"/>
      <c r="B13" s="2"/>
      <c r="C13" s="9"/>
      <c r="E13" s="2" t="s">
        <v>140</v>
      </c>
      <c r="F13" s="3">
        <f>ROUND(F10/F12,1)</f>
        <v>373.9</v>
      </c>
      <c r="G13" s="9" t="s">
        <v>17</v>
      </c>
      <c r="J13" s="5"/>
    </row>
    <row r="14" spans="1:10" ht="12.75">
      <c r="A14" s="2" t="s">
        <v>35</v>
      </c>
      <c r="B14" s="2">
        <v>-800</v>
      </c>
      <c r="C14" s="9" t="s">
        <v>30</v>
      </c>
      <c r="E14" s="2"/>
      <c r="F14" s="3"/>
      <c r="G14" s="9"/>
      <c r="J14" s="5"/>
    </row>
    <row r="15" spans="3:12" ht="12.75">
      <c r="C15" s="34"/>
      <c r="D15" s="35"/>
      <c r="E15" s="32"/>
      <c r="F15" s="33"/>
      <c r="G15" s="32"/>
      <c r="H15" s="35"/>
      <c r="I15" s="35"/>
      <c r="J15" s="35"/>
      <c r="K15" s="35"/>
      <c r="L15" s="35"/>
    </row>
    <row r="17" spans="1:12" ht="12.75">
      <c r="A17" s="32" t="s">
        <v>198</v>
      </c>
      <c r="B17" s="33">
        <f>B8*F7/10</f>
        <v>1384.8140417023808</v>
      </c>
      <c r="C17" s="9" t="s">
        <v>30</v>
      </c>
      <c r="D17" s="33"/>
      <c r="E17" s="15" t="s">
        <v>199</v>
      </c>
      <c r="F17" s="6">
        <f>0.4825</f>
        <v>0.4825</v>
      </c>
      <c r="H17" s="32" t="s">
        <v>208</v>
      </c>
      <c r="I17" s="33">
        <f>0.102*B8*B6*F7/1000</f>
        <v>56.500412901457125</v>
      </c>
      <c r="J17" s="9" t="s">
        <v>24</v>
      </c>
      <c r="K17" s="35"/>
      <c r="L17" s="35"/>
    </row>
    <row r="18" spans="1:12" ht="12.75">
      <c r="A18" s="32" t="s">
        <v>207</v>
      </c>
      <c r="B18" s="33">
        <f>B10*F13/10</f>
        <v>598.24</v>
      </c>
      <c r="C18" s="9" t="s">
        <v>30</v>
      </c>
      <c r="D18" s="33"/>
      <c r="F18" s="6">
        <f>F17*(1-B11/3)</f>
        <v>0.41301996121078327</v>
      </c>
      <c r="H18" s="32" t="s">
        <v>209</v>
      </c>
      <c r="I18" s="33">
        <f>0.304*B10*(B6-2.4*B7)*F13/1000</f>
        <v>55.286947839999996</v>
      </c>
      <c r="J18" s="9" t="s">
        <v>24</v>
      </c>
      <c r="K18" s="35"/>
      <c r="L18" s="35"/>
    </row>
    <row r="19" spans="1:12" ht="12.75">
      <c r="A19" s="32"/>
      <c r="B19" s="36"/>
      <c r="C19" s="36"/>
      <c r="D19" s="33"/>
      <c r="E19" s="33"/>
      <c r="F19" s="37"/>
      <c r="G19" s="37"/>
      <c r="H19" s="38"/>
      <c r="I19" s="37"/>
      <c r="J19" s="37"/>
      <c r="K19" s="35"/>
      <c r="L19" s="35"/>
    </row>
    <row r="20" spans="1:12" s="40" customFormat="1" ht="12.75">
      <c r="A20" s="32" t="s">
        <v>189</v>
      </c>
      <c r="B20" s="38">
        <f>1+(F17*B17/(F17*B17+B18))^(1/3)</f>
        <v>1.808049249264163</v>
      </c>
      <c r="C20" s="35"/>
      <c r="D20" s="38"/>
      <c r="E20" s="38"/>
      <c r="F20" s="38"/>
      <c r="G20" s="32"/>
      <c r="H20" s="32"/>
      <c r="I20" s="32"/>
      <c r="J20" s="37"/>
      <c r="K20" s="35"/>
      <c r="L20" s="35"/>
    </row>
    <row r="21" spans="1:12" ht="12.75">
      <c r="A21" s="32" t="s">
        <v>174</v>
      </c>
      <c r="B21" s="33">
        <f>(I17+I18)*(1-(ABS(B14+F17*B17)/(F17*B17+B18))^B20)</f>
        <v>109.91729256884612</v>
      </c>
      <c r="C21" s="9" t="s">
        <v>24</v>
      </c>
      <c r="D21" s="33"/>
      <c r="E21" s="33"/>
      <c r="F21" s="37"/>
      <c r="G21" s="37"/>
      <c r="H21" s="38"/>
      <c r="I21" s="37"/>
      <c r="J21" s="37"/>
      <c r="K21" s="35"/>
      <c r="L21" s="35"/>
    </row>
    <row r="23" spans="1:12" ht="12.75">
      <c r="A23" s="39" t="s">
        <v>206</v>
      </c>
      <c r="B23" s="36"/>
      <c r="C23" s="36"/>
      <c r="E23" s="33"/>
      <c r="F23" s="33"/>
      <c r="G23" s="9"/>
      <c r="H23" s="38"/>
      <c r="I23" s="37"/>
      <c r="J23" s="37"/>
      <c r="K23" s="35"/>
      <c r="L23" s="35"/>
    </row>
    <row r="24" spans="1:10" ht="12.75">
      <c r="A24" s="39" t="s">
        <v>191</v>
      </c>
      <c r="B24" s="35"/>
      <c r="C24" s="32" t="str">
        <f>IF(B14&gt;=B17,"si","no")</f>
        <v>no</v>
      </c>
      <c r="D24" s="35"/>
      <c r="E24" s="33" t="s">
        <v>174</v>
      </c>
      <c r="F24" s="33">
        <f>(I17+I18)*(1-(ABS(B14+F18*B17)/(F18*B17+B18))^J25)</f>
        <v>105.97644566121286</v>
      </c>
      <c r="G24" s="9" t="s">
        <v>24</v>
      </c>
      <c r="H24" s="35"/>
      <c r="I24" s="35"/>
      <c r="J24" s="35"/>
    </row>
    <row r="25" spans="1:10" ht="12.75">
      <c r="A25" s="39" t="s">
        <v>192</v>
      </c>
      <c r="C25" s="2" t="str">
        <f>IF(B14&lt;B17,"si","no")</f>
        <v>si</v>
      </c>
      <c r="E25" s="33" t="s">
        <v>174</v>
      </c>
      <c r="F25" s="3">
        <f>(I17+I18)*(1-(ABS(B14+F18*B17)/((1-F18)*B17+B18))^J25)</f>
        <v>107.64495630489733</v>
      </c>
      <c r="G25" s="9" t="s">
        <v>24</v>
      </c>
      <c r="I25" s="2" t="s">
        <v>21</v>
      </c>
      <c r="J25" s="7">
        <f>B20</f>
        <v>1.808049249264163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194</v>
      </c>
    </row>
    <row r="2" ht="12.75">
      <c r="A2" s="1" t="s">
        <v>186</v>
      </c>
    </row>
    <row r="4" spans="2:4" ht="12.75">
      <c r="B4" s="2"/>
      <c r="C4" s="2"/>
      <c r="D4" s="2"/>
    </row>
    <row r="5" spans="1:10" ht="12.75">
      <c r="A5" s="2" t="s">
        <v>2</v>
      </c>
      <c r="B5" s="2">
        <v>30</v>
      </c>
      <c r="C5" s="41" t="s">
        <v>3</v>
      </c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7" ht="12.75">
      <c r="A6" s="2" t="s">
        <v>6</v>
      </c>
      <c r="B6" s="2">
        <v>70</v>
      </c>
      <c r="C6" s="41" t="s">
        <v>3</v>
      </c>
      <c r="D6" s="2"/>
      <c r="E6" s="15" t="s">
        <v>137</v>
      </c>
      <c r="F6" s="2">
        <v>1.6</v>
      </c>
      <c r="G6" s="2"/>
    </row>
    <row r="7" spans="1:10" ht="12.75">
      <c r="A7" s="2" t="s">
        <v>8</v>
      </c>
      <c r="B7" s="2">
        <v>4</v>
      </c>
      <c r="C7" s="41" t="s">
        <v>3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 t="s">
        <v>81</v>
      </c>
      <c r="B8" s="2">
        <f>B5*B6</f>
        <v>2100</v>
      </c>
      <c r="C8" s="9" t="s">
        <v>5</v>
      </c>
    </row>
    <row r="9" spans="3:5" ht="12.75">
      <c r="C9" s="6"/>
      <c r="D9" s="2"/>
      <c r="E9" s="2" t="s">
        <v>139</v>
      </c>
    </row>
    <row r="10" spans="1:7" ht="12.75">
      <c r="A10" s="2" t="s">
        <v>10</v>
      </c>
      <c r="B10" s="2">
        <v>12</v>
      </c>
      <c r="C10" s="9" t="s">
        <v>5</v>
      </c>
      <c r="E10" s="2" t="s">
        <v>142</v>
      </c>
      <c r="F10" s="2">
        <v>430</v>
      </c>
      <c r="G10" s="9" t="s">
        <v>17</v>
      </c>
    </row>
    <row r="11" spans="1:7" ht="12.75">
      <c r="A11" s="2" t="s">
        <v>12</v>
      </c>
      <c r="B11" s="2">
        <f>B10</f>
        <v>12</v>
      </c>
      <c r="C11" s="9" t="s">
        <v>5</v>
      </c>
      <c r="E11" s="2" t="s">
        <v>16</v>
      </c>
      <c r="F11" s="2">
        <v>200000</v>
      </c>
      <c r="G11" s="9" t="s">
        <v>17</v>
      </c>
    </row>
    <row r="12" spans="5:10" ht="12.75">
      <c r="E12" s="15" t="s">
        <v>141</v>
      </c>
      <c r="F12" s="2">
        <v>1.15</v>
      </c>
      <c r="J12" s="2"/>
    </row>
    <row r="13" spans="1:10" ht="12.75">
      <c r="A13" s="2" t="s">
        <v>23</v>
      </c>
      <c r="B13" s="2">
        <v>210</v>
      </c>
      <c r="C13" s="9" t="s">
        <v>24</v>
      </c>
      <c r="E13" s="2" t="s">
        <v>140</v>
      </c>
      <c r="F13" s="3">
        <f>ROUND(F10/F12,1)</f>
        <v>373.9</v>
      </c>
      <c r="G13" s="9" t="s">
        <v>17</v>
      </c>
      <c r="J13" s="5"/>
    </row>
    <row r="14" spans="1:10" ht="12.75">
      <c r="A14" s="2" t="s">
        <v>35</v>
      </c>
      <c r="B14" s="2">
        <v>-600</v>
      </c>
      <c r="C14" s="9" t="s">
        <v>30</v>
      </c>
      <c r="E14" s="2"/>
      <c r="F14" s="3"/>
      <c r="G14" s="9"/>
      <c r="J14" s="5"/>
    </row>
    <row r="15" spans="1:12" ht="12.75">
      <c r="A15" s="32"/>
      <c r="B15" s="33"/>
      <c r="C15" s="34"/>
      <c r="D15" s="35"/>
      <c r="E15" s="32"/>
      <c r="F15" s="33"/>
      <c r="G15" s="32"/>
      <c r="H15" s="35"/>
      <c r="I15" s="35"/>
      <c r="J15" s="35"/>
      <c r="K15" s="35"/>
      <c r="L15" s="35"/>
    </row>
    <row r="17" spans="1:12" ht="12.75">
      <c r="A17" s="32" t="s">
        <v>198</v>
      </c>
      <c r="B17" s="33">
        <f>B8*F7/10</f>
        <v>2314.2</v>
      </c>
      <c r="C17" s="9" t="s">
        <v>30</v>
      </c>
      <c r="D17" s="33"/>
      <c r="E17" s="15" t="s">
        <v>199</v>
      </c>
      <c r="F17" s="5">
        <v>0.48</v>
      </c>
      <c r="H17" s="32" t="s">
        <v>208</v>
      </c>
      <c r="I17" s="33">
        <f>0.12*B8*B6*F7/1000</f>
        <v>194.3928</v>
      </c>
      <c r="J17" s="9" t="s">
        <v>24</v>
      </c>
      <c r="K17" s="35"/>
      <c r="L17" s="35"/>
    </row>
    <row r="18" spans="1:12" ht="12.75">
      <c r="A18" s="32" t="s">
        <v>207</v>
      </c>
      <c r="B18" s="33">
        <f>2*B10*F13/10</f>
        <v>897.3599999999999</v>
      </c>
      <c r="C18" s="9" t="s">
        <v>30</v>
      </c>
      <c r="D18" s="33"/>
      <c r="H18" s="32" t="s">
        <v>209</v>
      </c>
      <c r="I18" s="33">
        <f>B10*(B6-2*B7)*F13/1000</f>
        <v>278.1816</v>
      </c>
      <c r="J18" s="9" t="s">
        <v>24</v>
      </c>
      <c r="K18" s="35"/>
      <c r="L18" s="35"/>
    </row>
    <row r="19" spans="1:12" ht="12.75">
      <c r="A19" s="32"/>
      <c r="B19" s="36"/>
      <c r="C19" s="36"/>
      <c r="D19" s="33"/>
      <c r="E19" s="33"/>
      <c r="F19" s="37"/>
      <c r="G19" s="37"/>
      <c r="H19" s="38"/>
      <c r="I19" s="37"/>
      <c r="J19" s="37"/>
      <c r="K19" s="35"/>
      <c r="L19" s="35"/>
    </row>
    <row r="20" spans="1:12" s="40" customFormat="1" ht="12.75">
      <c r="A20" s="32" t="s">
        <v>189</v>
      </c>
      <c r="B20" s="38">
        <f>1+1/(1+2*B18/B17)</f>
        <v>1.5632136911889256</v>
      </c>
      <c r="C20" s="35"/>
      <c r="D20" s="38"/>
      <c r="E20" s="38" t="s">
        <v>210</v>
      </c>
      <c r="F20" s="38" t="s">
        <v>211</v>
      </c>
      <c r="G20" s="32"/>
      <c r="H20" s="32"/>
      <c r="I20" s="32"/>
      <c r="J20" s="37"/>
      <c r="K20" s="35"/>
      <c r="L20" s="35"/>
    </row>
    <row r="21" spans="1:12" ht="12.75">
      <c r="A21" s="32"/>
      <c r="B21" s="33"/>
      <c r="C21" s="9"/>
      <c r="D21" s="33"/>
      <c r="E21" s="38">
        <f>B13/(I17+I18)</f>
        <v>0.4443744730988391</v>
      </c>
      <c r="F21" s="38">
        <f>(ABS(B14+0.48*B17)/(0.48*B17+B18))^B20</f>
        <v>0.117655215384509</v>
      </c>
      <c r="G21" s="38">
        <f>SUM(E21:F21)</f>
        <v>0.5620296884833481</v>
      </c>
      <c r="H21" s="38"/>
      <c r="I21" s="37"/>
      <c r="J21" s="37"/>
      <c r="K21" s="35"/>
      <c r="L21" s="35"/>
    </row>
    <row r="23" spans="1:12" ht="12.75">
      <c r="A23" s="39"/>
      <c r="B23" s="36"/>
      <c r="C23" s="36"/>
      <c r="E23" s="33"/>
      <c r="F23" s="33"/>
      <c r="G23" s="9"/>
      <c r="H23" s="38"/>
      <c r="I23" s="37"/>
      <c r="J23" s="37"/>
      <c r="K23" s="35"/>
      <c r="L23" s="35"/>
    </row>
    <row r="24" spans="1:10" ht="12.75">
      <c r="A24" s="39"/>
      <c r="B24" s="35"/>
      <c r="C24" s="32"/>
      <c r="D24" s="35"/>
      <c r="E24" s="33"/>
      <c r="F24" s="33"/>
      <c r="G24" s="9"/>
      <c r="H24" s="35"/>
      <c r="I24" s="35"/>
      <c r="J24" s="35"/>
    </row>
    <row r="25" spans="1:10" ht="12.75">
      <c r="A25" s="39"/>
      <c r="C25" s="2"/>
      <c r="E25" s="33"/>
      <c r="F25" s="3"/>
      <c r="G25" s="9"/>
      <c r="I25" s="2"/>
      <c r="J25" s="7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201</v>
      </c>
    </row>
    <row r="2" ht="12.75">
      <c r="A2" s="1" t="s">
        <v>200</v>
      </c>
    </row>
    <row r="4" spans="2:4" ht="12.75">
      <c r="B4" s="2"/>
      <c r="C4" s="2"/>
      <c r="D4" s="2"/>
    </row>
    <row r="5" spans="1:10" ht="12.75">
      <c r="A5" s="2" t="s">
        <v>203</v>
      </c>
      <c r="B5" s="2">
        <v>40</v>
      </c>
      <c r="C5" s="41" t="s">
        <v>3</v>
      </c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7" ht="12.75">
      <c r="A6" s="2" t="s">
        <v>6</v>
      </c>
      <c r="B6" s="2">
        <f>B5</f>
        <v>40</v>
      </c>
      <c r="C6" s="41" t="s">
        <v>3</v>
      </c>
      <c r="D6" s="2"/>
      <c r="E6" s="15" t="s">
        <v>137</v>
      </c>
      <c r="F6" s="2">
        <v>1.6</v>
      </c>
      <c r="G6" s="2"/>
    </row>
    <row r="7" spans="1:10" ht="12.75">
      <c r="A7" s="2" t="s">
        <v>8</v>
      </c>
      <c r="B7" s="2">
        <v>4</v>
      </c>
      <c r="C7" s="41" t="s">
        <v>3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 t="s">
        <v>81</v>
      </c>
      <c r="B8" s="3">
        <f>PI()*B5^2/4</f>
        <v>1256.6370614359173</v>
      </c>
      <c r="C8" s="9" t="s">
        <v>5</v>
      </c>
    </row>
    <row r="9" spans="3:5" ht="12.75">
      <c r="C9" s="6"/>
      <c r="D9" s="2"/>
      <c r="E9" s="2" t="s">
        <v>139</v>
      </c>
    </row>
    <row r="10" spans="1:7" ht="12.75">
      <c r="A10" s="2" t="s">
        <v>204</v>
      </c>
      <c r="B10" s="2">
        <v>16</v>
      </c>
      <c r="C10" s="9" t="s">
        <v>5</v>
      </c>
      <c r="E10" s="2" t="s">
        <v>142</v>
      </c>
      <c r="F10" s="2">
        <v>430</v>
      </c>
      <c r="G10" s="9" t="s">
        <v>17</v>
      </c>
    </row>
    <row r="11" spans="1:7" ht="12.75">
      <c r="A11" s="15" t="s">
        <v>205</v>
      </c>
      <c r="B11" s="38">
        <f>B10/B8*F13/F7</f>
        <v>0.43200024117647673</v>
      </c>
      <c r="C11" s="9"/>
      <c r="E11" s="2" t="s">
        <v>16</v>
      </c>
      <c r="F11" s="2">
        <v>200000</v>
      </c>
      <c r="G11" s="9" t="s">
        <v>17</v>
      </c>
    </row>
    <row r="12" spans="5:10" ht="12.75">
      <c r="E12" s="15" t="s">
        <v>141</v>
      </c>
      <c r="F12" s="2">
        <v>1.15</v>
      </c>
      <c r="J12" s="2"/>
    </row>
    <row r="13" spans="1:10" ht="12.75">
      <c r="A13" s="2" t="s">
        <v>23</v>
      </c>
      <c r="B13" s="2">
        <v>90</v>
      </c>
      <c r="C13" s="9" t="s">
        <v>24</v>
      </c>
      <c r="E13" s="2" t="s">
        <v>140</v>
      </c>
      <c r="F13" s="3">
        <f>ROUND(F10/F12,1)</f>
        <v>373.9</v>
      </c>
      <c r="G13" s="9" t="s">
        <v>17</v>
      </c>
      <c r="J13" s="5"/>
    </row>
    <row r="14" spans="1:10" ht="12.75">
      <c r="A14" s="2" t="s">
        <v>35</v>
      </c>
      <c r="B14" s="2">
        <v>-800</v>
      </c>
      <c r="C14" s="9" t="s">
        <v>30</v>
      </c>
      <c r="E14" s="2"/>
      <c r="F14" s="3"/>
      <c r="G14" s="9"/>
      <c r="J14" s="5"/>
    </row>
    <row r="15" spans="3:12" ht="12.75">
      <c r="C15" s="34"/>
      <c r="D15" s="35"/>
      <c r="E15" s="32"/>
      <c r="F15" s="33"/>
      <c r="G15" s="32"/>
      <c r="H15" s="35"/>
      <c r="I15" s="35"/>
      <c r="J15" s="35"/>
      <c r="K15" s="35"/>
      <c r="L15" s="35"/>
    </row>
    <row r="17" spans="1:12" ht="12.75">
      <c r="A17" s="32" t="s">
        <v>198</v>
      </c>
      <c r="B17" s="33">
        <f>B8*F7/10</f>
        <v>1384.8140417023808</v>
      </c>
      <c r="C17" s="9" t="s">
        <v>30</v>
      </c>
      <c r="D17" s="33"/>
      <c r="E17" s="15" t="s">
        <v>199</v>
      </c>
      <c r="F17" s="5">
        <v>0.48</v>
      </c>
      <c r="H17" s="32" t="s">
        <v>208</v>
      </c>
      <c r="I17" s="33">
        <f>0.1*B8*B6*F7/1000</f>
        <v>55.39256166809523</v>
      </c>
      <c r="J17" s="9" t="s">
        <v>24</v>
      </c>
      <c r="K17" s="35"/>
      <c r="L17" s="35"/>
    </row>
    <row r="18" spans="1:12" ht="12.75">
      <c r="A18" s="32" t="s">
        <v>207</v>
      </c>
      <c r="B18" s="33">
        <f>B10*F13/10</f>
        <v>598.24</v>
      </c>
      <c r="C18" s="9" t="s">
        <v>30</v>
      </c>
      <c r="D18" s="33"/>
      <c r="F18" s="6"/>
      <c r="H18" s="32" t="s">
        <v>209</v>
      </c>
      <c r="I18" s="33">
        <f>0.3*B10*(B6-2.4*B7)*F13/1000</f>
        <v>54.55948799999999</v>
      </c>
      <c r="J18" s="9" t="s">
        <v>24</v>
      </c>
      <c r="K18" s="35"/>
      <c r="L18" s="35"/>
    </row>
    <row r="19" spans="1:12" ht="12.75">
      <c r="A19" s="32"/>
      <c r="B19" s="36"/>
      <c r="C19" s="36"/>
      <c r="D19" s="33"/>
      <c r="E19" s="33"/>
      <c r="F19" s="37"/>
      <c r="G19" s="37"/>
      <c r="H19" s="38"/>
      <c r="I19" s="37"/>
      <c r="J19" s="37"/>
      <c r="K19" s="35"/>
      <c r="L19" s="35"/>
    </row>
    <row r="20" spans="1:12" s="40" customFormat="1" ht="12.75">
      <c r="A20" s="32" t="s">
        <v>189</v>
      </c>
      <c r="B20" s="38">
        <f>1+(1/(1+2*B18/B17))^(1/3)</f>
        <v>1.8125523048267898</v>
      </c>
      <c r="C20" s="35"/>
      <c r="D20" s="38"/>
      <c r="E20" s="38" t="s">
        <v>210</v>
      </c>
      <c r="F20" s="38" t="s">
        <v>211</v>
      </c>
      <c r="G20" s="32"/>
      <c r="H20" s="32"/>
      <c r="I20" s="32"/>
      <c r="J20" s="37"/>
      <c r="K20" s="35"/>
      <c r="L20" s="35"/>
    </row>
    <row r="21" spans="1:12" ht="12.75">
      <c r="A21" s="32"/>
      <c r="B21" s="33"/>
      <c r="C21" s="9"/>
      <c r="D21" s="33"/>
      <c r="E21" s="38">
        <f>B13/(I17+I18)</f>
        <v>0.8185386290812848</v>
      </c>
      <c r="F21" s="38">
        <f>(ABS(B14+0.48*B17)/(0.48*B17+B18))^B20</f>
        <v>0.01744219575914316</v>
      </c>
      <c r="G21" s="38">
        <f>SUM(E21:F21)</f>
        <v>0.835980824840428</v>
      </c>
      <c r="H21" s="38"/>
      <c r="I21" s="37"/>
      <c r="J21" s="37"/>
      <c r="K21" s="35"/>
      <c r="L21" s="35"/>
    </row>
    <row r="23" spans="1:12" ht="12.75">
      <c r="A23" s="39"/>
      <c r="B23" s="36"/>
      <c r="C23" s="36"/>
      <c r="E23" s="33"/>
      <c r="F23" s="33"/>
      <c r="G23" s="9"/>
      <c r="H23" s="38"/>
      <c r="I23" s="37"/>
      <c r="J23" s="37"/>
      <c r="K23" s="35"/>
      <c r="L23" s="35"/>
    </row>
    <row r="24" spans="1:10" ht="12.75">
      <c r="A24" s="39"/>
      <c r="B24" s="35"/>
      <c r="C24" s="32"/>
      <c r="D24" s="35"/>
      <c r="E24" s="33"/>
      <c r="F24" s="33"/>
      <c r="G24" s="9"/>
      <c r="H24" s="35"/>
      <c r="I24" s="35"/>
      <c r="J24" s="35"/>
    </row>
    <row r="25" spans="1:10" ht="12.75">
      <c r="A25" s="39"/>
      <c r="C25" s="2"/>
      <c r="E25" s="33"/>
      <c r="F25" s="3"/>
      <c r="G25" s="9"/>
      <c r="I25" s="2"/>
      <c r="J25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3" sqref="A3"/>
    </sheetView>
  </sheetViews>
  <sheetFormatPr defaultColWidth="9.140625" defaultRowHeight="12.75"/>
  <cols>
    <col min="3" max="3" width="9.57421875" style="0" bestFit="1" customWidth="1"/>
    <col min="6" max="6" width="9.57421875" style="0" bestFit="1" customWidth="1"/>
  </cols>
  <sheetData>
    <row r="1" ht="12.75">
      <c r="A1" s="1" t="s">
        <v>49</v>
      </c>
    </row>
    <row r="2" ht="12.75">
      <c r="A2" s="1" t="s">
        <v>50</v>
      </c>
    </row>
    <row r="4" spans="2:7" ht="12.75">
      <c r="B4" s="2" t="s">
        <v>51</v>
      </c>
      <c r="C4" s="2" t="s">
        <v>52</v>
      </c>
      <c r="D4" s="2"/>
      <c r="E4" s="2" t="s">
        <v>23</v>
      </c>
      <c r="F4" s="2">
        <v>30</v>
      </c>
      <c r="G4" s="9" t="s">
        <v>24</v>
      </c>
    </row>
    <row r="5" spans="1:7" ht="12.75">
      <c r="A5" s="2" t="s">
        <v>2</v>
      </c>
      <c r="B5" s="2">
        <v>30</v>
      </c>
      <c r="C5" s="5">
        <f>B5/100</f>
        <v>0.3</v>
      </c>
      <c r="D5" s="2"/>
      <c r="E5" s="2" t="s">
        <v>35</v>
      </c>
      <c r="F5" s="2">
        <v>200</v>
      </c>
      <c r="G5" s="9" t="s">
        <v>30</v>
      </c>
    </row>
    <row r="6" spans="1:7" ht="12.75">
      <c r="A6" s="2" t="s">
        <v>6</v>
      </c>
      <c r="B6" s="2">
        <v>60</v>
      </c>
      <c r="C6" s="5">
        <f>B6/100</f>
        <v>0.6</v>
      </c>
      <c r="D6" s="2"/>
      <c r="E6" s="2"/>
      <c r="F6" s="2"/>
      <c r="G6" s="2"/>
    </row>
    <row r="7" spans="1:7" ht="12.75">
      <c r="A7" s="2" t="s">
        <v>8</v>
      </c>
      <c r="B7" s="2">
        <v>4</v>
      </c>
      <c r="C7" s="2">
        <f>B7/100</f>
        <v>0.04</v>
      </c>
      <c r="E7" s="2" t="s">
        <v>100</v>
      </c>
      <c r="F7" s="2">
        <f>F4/F5</f>
        <v>0.15</v>
      </c>
      <c r="G7" s="2">
        <f>F7*100</f>
        <v>15</v>
      </c>
    </row>
    <row r="8" spans="1:7" ht="12.75">
      <c r="A8" s="2" t="s">
        <v>13</v>
      </c>
      <c r="B8" s="2">
        <f>B6-B7</f>
        <v>56</v>
      </c>
      <c r="C8" s="2">
        <f>B8/100</f>
        <v>0.56</v>
      </c>
      <c r="E8" s="2" t="s">
        <v>101</v>
      </c>
      <c r="F8" s="2">
        <f>F7-(C6/2-C15)</f>
        <v>0.08499999999999999</v>
      </c>
      <c r="G8" s="2">
        <f>F8*100</f>
        <v>8.5</v>
      </c>
    </row>
    <row r="9" spans="1:7" ht="12.75">
      <c r="A9" s="2" t="s">
        <v>10</v>
      </c>
      <c r="B9" s="2">
        <v>10</v>
      </c>
      <c r="C9" s="6">
        <f>B9/10000</f>
        <v>0.001</v>
      </c>
      <c r="D9" s="2"/>
      <c r="E9" s="2"/>
      <c r="F9" s="2"/>
      <c r="G9" s="2"/>
    </row>
    <row r="10" spans="1:7" ht="12.75">
      <c r="A10" s="2" t="s">
        <v>12</v>
      </c>
      <c r="B10" s="2">
        <v>6</v>
      </c>
      <c r="C10" s="6">
        <f>B10/10000</f>
        <v>0.0006</v>
      </c>
      <c r="E10" s="2" t="s">
        <v>38</v>
      </c>
      <c r="F10" s="3">
        <f>F5*1000/B12/100</f>
        <v>125</v>
      </c>
      <c r="G10" s="2"/>
    </row>
    <row r="11" spans="1:7" ht="12.75">
      <c r="A11" s="2"/>
      <c r="B11" s="2"/>
      <c r="C11" s="2"/>
      <c r="E11" s="2" t="s">
        <v>40</v>
      </c>
      <c r="F11" s="8">
        <f>F5*F8*1000000/C16/1000000000000</f>
        <v>0.16765285996055226</v>
      </c>
      <c r="G11" s="2"/>
    </row>
    <row r="12" spans="1:7" ht="12.75">
      <c r="A12" s="2" t="s">
        <v>4</v>
      </c>
      <c r="B12" s="2">
        <f>B9+B10</f>
        <v>16</v>
      </c>
      <c r="C12" s="2">
        <f>B12/10000</f>
        <v>0.0016</v>
      </c>
      <c r="E12" s="2"/>
      <c r="F12" s="2"/>
      <c r="G12" s="2"/>
    </row>
    <row r="13" spans="1:7" ht="12.75">
      <c r="A13" s="2" t="s">
        <v>39</v>
      </c>
      <c r="B13" s="2">
        <f>B9*B8+B10*B7</f>
        <v>584</v>
      </c>
      <c r="C13" s="2">
        <f>B13/1000000</f>
        <v>0.000584</v>
      </c>
      <c r="G13" s="2"/>
    </row>
    <row r="14" spans="1:7" ht="12.75">
      <c r="A14" s="2" t="s">
        <v>11</v>
      </c>
      <c r="B14" s="3">
        <f>B13/B12</f>
        <v>36.5</v>
      </c>
      <c r="C14" s="6">
        <f>C13/C12</f>
        <v>0.365</v>
      </c>
      <c r="E14" s="15" t="s">
        <v>102</v>
      </c>
      <c r="F14" s="3">
        <f>F10+F11*(B15-B7)*10</f>
        <v>157.69230769230768</v>
      </c>
      <c r="G14" s="2" t="s">
        <v>17</v>
      </c>
    </row>
    <row r="15" spans="1:7" ht="12.75">
      <c r="A15" s="2" t="s">
        <v>9</v>
      </c>
      <c r="B15" s="3">
        <f>B6-B14</f>
        <v>23.5</v>
      </c>
      <c r="C15" s="6">
        <f>B15/100</f>
        <v>0.235</v>
      </c>
      <c r="E15" s="15" t="s">
        <v>103</v>
      </c>
      <c r="F15" s="3">
        <f>F10+F11*(-B14+B7)*10</f>
        <v>70.51282051282051</v>
      </c>
      <c r="G15" s="2" t="s">
        <v>17</v>
      </c>
    </row>
    <row r="16" spans="1:7" ht="12.75">
      <c r="A16" s="2" t="s">
        <v>14</v>
      </c>
      <c r="B16" s="4">
        <f>B9*(B15-B7)^2+B10*(B14-B7)^2</f>
        <v>10140</v>
      </c>
      <c r="C16" s="10">
        <f>B16/100000000</f>
        <v>0.0001014</v>
      </c>
      <c r="F16" s="5"/>
      <c r="G16" s="2"/>
    </row>
    <row r="17" spans="3:7" ht="12.75">
      <c r="C17" s="2"/>
      <c r="D17" s="2"/>
      <c r="E17" s="2"/>
      <c r="F17" s="2"/>
      <c r="G17" s="2"/>
    </row>
    <row r="18" spans="1:7" ht="12.75">
      <c r="A18" s="2" t="s">
        <v>47</v>
      </c>
      <c r="B18" s="5">
        <f>B16/B12/B15</f>
        <v>26.96808510638298</v>
      </c>
      <c r="C18" s="6">
        <f>B18/100</f>
        <v>0.2696808510638298</v>
      </c>
      <c r="D18" s="2"/>
      <c r="E18" s="2"/>
      <c r="F18" s="2"/>
      <c r="G18" s="2"/>
    </row>
    <row r="19" spans="1:7" ht="12.75">
      <c r="A19" s="2" t="s">
        <v>48</v>
      </c>
      <c r="B19" s="5">
        <f>B16/B12/B14</f>
        <v>17.363013698630137</v>
      </c>
      <c r="C19" s="6">
        <f>B19/100</f>
        <v>0.17363013698630136</v>
      </c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212</v>
      </c>
    </row>
    <row r="2" ht="12.75">
      <c r="A2" s="1" t="s">
        <v>213</v>
      </c>
    </row>
    <row r="4" spans="2:4" ht="12.75">
      <c r="B4" s="2"/>
      <c r="C4" s="2"/>
      <c r="D4" s="2"/>
    </row>
    <row r="5" spans="1:10" ht="12.75">
      <c r="A5" s="2" t="s">
        <v>2</v>
      </c>
      <c r="B5" s="2">
        <v>30</v>
      </c>
      <c r="C5" s="41" t="s">
        <v>3</v>
      </c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7" ht="12.75">
      <c r="A6" s="2" t="s">
        <v>6</v>
      </c>
      <c r="B6" s="2">
        <v>70</v>
      </c>
      <c r="C6" s="41" t="s">
        <v>3</v>
      </c>
      <c r="D6" s="2"/>
      <c r="E6" s="15" t="s">
        <v>137</v>
      </c>
      <c r="F6" s="2">
        <v>1.6</v>
      </c>
      <c r="G6" s="2"/>
    </row>
    <row r="7" spans="1:10" ht="12.75">
      <c r="A7" s="2" t="s">
        <v>8</v>
      </c>
      <c r="B7" s="2">
        <v>4</v>
      </c>
      <c r="C7" s="41" t="s">
        <v>3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 t="s">
        <v>81</v>
      </c>
      <c r="B8" s="2">
        <f>B5*B6</f>
        <v>2100</v>
      </c>
      <c r="C8" s="9" t="s">
        <v>5</v>
      </c>
    </row>
    <row r="9" spans="3:5" ht="12.75">
      <c r="C9" s="6"/>
      <c r="D9" s="2"/>
      <c r="E9" s="2" t="s">
        <v>139</v>
      </c>
    </row>
    <row r="10" spans="1:7" ht="12.75">
      <c r="A10" s="2" t="s">
        <v>10</v>
      </c>
      <c r="B10" s="2">
        <v>12</v>
      </c>
      <c r="C10" s="9" t="s">
        <v>5</v>
      </c>
      <c r="E10" s="2" t="s">
        <v>142</v>
      </c>
      <c r="F10" s="2">
        <v>430</v>
      </c>
      <c r="G10" s="9" t="s">
        <v>17</v>
      </c>
    </row>
    <row r="11" spans="1:7" ht="12.75">
      <c r="A11" s="2" t="s">
        <v>12</v>
      </c>
      <c r="B11" s="2">
        <f>B10</f>
        <v>12</v>
      </c>
      <c r="C11" s="9" t="s">
        <v>5</v>
      </c>
      <c r="E11" s="2" t="s">
        <v>16</v>
      </c>
      <c r="F11" s="2">
        <v>200000</v>
      </c>
      <c r="G11" s="9" t="s">
        <v>17</v>
      </c>
    </row>
    <row r="12" spans="5:10" ht="12.75">
      <c r="E12" s="15" t="s">
        <v>141</v>
      </c>
      <c r="F12" s="2">
        <v>1.15</v>
      </c>
      <c r="J12" s="2"/>
    </row>
    <row r="13" spans="1:10" ht="12.75">
      <c r="A13" s="2" t="s">
        <v>23</v>
      </c>
      <c r="B13" s="2">
        <v>210</v>
      </c>
      <c r="C13" s="9" t="s">
        <v>24</v>
      </c>
      <c r="E13" s="2" t="s">
        <v>140</v>
      </c>
      <c r="F13" s="3">
        <f>ROUND(F10/F12,1)</f>
        <v>373.9</v>
      </c>
      <c r="G13" s="9" t="s">
        <v>17</v>
      </c>
      <c r="J13" s="5"/>
    </row>
    <row r="14" spans="1:10" ht="12.75">
      <c r="A14" s="2" t="s">
        <v>35</v>
      </c>
      <c r="B14" s="2">
        <v>-600</v>
      </c>
      <c r="C14" s="9" t="s">
        <v>30</v>
      </c>
      <c r="E14" s="2"/>
      <c r="F14" s="3"/>
      <c r="G14" s="9"/>
      <c r="J14" s="5"/>
    </row>
    <row r="17" spans="1:12" ht="12.75">
      <c r="A17" s="32" t="s">
        <v>198</v>
      </c>
      <c r="B17" s="33">
        <f>B8*F7/10</f>
        <v>2314.2</v>
      </c>
      <c r="C17" s="9" t="s">
        <v>30</v>
      </c>
      <c r="D17" s="33"/>
      <c r="E17" s="15" t="s">
        <v>199</v>
      </c>
      <c r="F17" s="5">
        <v>0.48</v>
      </c>
      <c r="H17" s="32" t="s">
        <v>208</v>
      </c>
      <c r="I17" s="33">
        <f>0.12*B8*B6*F7/1000</f>
        <v>194.3928</v>
      </c>
      <c r="J17" s="9" t="s">
        <v>24</v>
      </c>
      <c r="K17" s="35"/>
      <c r="L17" s="35"/>
    </row>
    <row r="19" spans="1:7" ht="12.75">
      <c r="A19" s="32" t="s">
        <v>214</v>
      </c>
      <c r="B19" s="33">
        <f>B13-I17*(1-((B14+0.48*B17)/(0.48*B17))^2)</f>
        <v>56.71506352087113</v>
      </c>
      <c r="C19" s="9" t="s">
        <v>24</v>
      </c>
      <c r="E19" s="2" t="s">
        <v>204</v>
      </c>
      <c r="F19" s="5">
        <f>2*B19/B20/F13*1000</f>
        <v>4.893068141461935</v>
      </c>
      <c r="G19" s="9" t="s">
        <v>5</v>
      </c>
    </row>
    <row r="20" spans="1:7" ht="12.75">
      <c r="A20" s="2" t="s">
        <v>215</v>
      </c>
      <c r="B20" s="2">
        <f>B6-2*B7</f>
        <v>62</v>
      </c>
      <c r="C20" s="41" t="s">
        <v>3</v>
      </c>
      <c r="E20" s="2" t="s">
        <v>10</v>
      </c>
      <c r="F20" s="5">
        <f>F19/2</f>
        <v>2.4465340707309675</v>
      </c>
      <c r="G20" s="9" t="s">
        <v>5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216</v>
      </c>
    </row>
    <row r="2" ht="12.75">
      <c r="A2" s="1" t="s">
        <v>213</v>
      </c>
    </row>
    <row r="4" spans="2:4" ht="12.75">
      <c r="B4" s="2"/>
      <c r="C4" s="2"/>
      <c r="D4" s="2"/>
    </row>
    <row r="5" spans="1:10" ht="12.75">
      <c r="A5" s="2" t="s">
        <v>2</v>
      </c>
      <c r="B5" s="2">
        <v>30</v>
      </c>
      <c r="C5" s="41" t="s">
        <v>3</v>
      </c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7" ht="12.75">
      <c r="A6" s="2" t="s">
        <v>6</v>
      </c>
      <c r="B6" s="2">
        <v>70</v>
      </c>
      <c r="C6" s="41" t="s">
        <v>3</v>
      </c>
      <c r="D6" s="2"/>
      <c r="E6" s="15" t="s">
        <v>137</v>
      </c>
      <c r="F6" s="2">
        <v>1.6</v>
      </c>
      <c r="G6" s="2"/>
    </row>
    <row r="7" spans="1:10" ht="12.75">
      <c r="A7" s="2" t="s">
        <v>8</v>
      </c>
      <c r="B7" s="2">
        <v>4</v>
      </c>
      <c r="C7" s="41" t="s">
        <v>3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 t="s">
        <v>81</v>
      </c>
      <c r="B8" s="2">
        <f>B5*B6</f>
        <v>2100</v>
      </c>
      <c r="C8" s="9" t="s">
        <v>5</v>
      </c>
    </row>
    <row r="9" spans="3:5" ht="12.75">
      <c r="C9" s="6"/>
      <c r="D9" s="2"/>
      <c r="E9" s="2" t="s">
        <v>139</v>
      </c>
    </row>
    <row r="10" spans="1:7" ht="12.75">
      <c r="A10" s="2" t="s">
        <v>10</v>
      </c>
      <c r="B10" s="2">
        <v>12</v>
      </c>
      <c r="C10" s="9" t="s">
        <v>5</v>
      </c>
      <c r="E10" s="2" t="s">
        <v>142</v>
      </c>
      <c r="F10" s="2">
        <v>430</v>
      </c>
      <c r="G10" s="9" t="s">
        <v>17</v>
      </c>
    </row>
    <row r="11" spans="1:7" ht="12.75">
      <c r="A11" s="2" t="s">
        <v>12</v>
      </c>
      <c r="B11" s="2">
        <f>B10</f>
        <v>12</v>
      </c>
      <c r="C11" s="9" t="s">
        <v>5</v>
      </c>
      <c r="E11" s="2" t="s">
        <v>16</v>
      </c>
      <c r="F11" s="2">
        <v>200000</v>
      </c>
      <c r="G11" s="9" t="s">
        <v>17</v>
      </c>
    </row>
    <row r="12" spans="5:10" ht="12.75">
      <c r="E12" s="15" t="s">
        <v>141</v>
      </c>
      <c r="F12" s="2">
        <v>1.15</v>
      </c>
      <c r="J12" s="2"/>
    </row>
    <row r="13" spans="1:10" ht="12.75">
      <c r="A13" s="2" t="s">
        <v>23</v>
      </c>
      <c r="B13" s="2">
        <v>210</v>
      </c>
      <c r="C13" s="9" t="s">
        <v>24</v>
      </c>
      <c r="E13" s="2" t="s">
        <v>140</v>
      </c>
      <c r="F13" s="3">
        <f>ROUND(F10/F12,1)</f>
        <v>373.9</v>
      </c>
      <c r="G13" s="9" t="s">
        <v>17</v>
      </c>
      <c r="J13" s="5"/>
    </row>
    <row r="14" spans="1:10" ht="12.75">
      <c r="A14" s="2" t="s">
        <v>35</v>
      </c>
      <c r="B14" s="2">
        <v>-1800</v>
      </c>
      <c r="C14" s="9" t="s">
        <v>30</v>
      </c>
      <c r="E14" s="2"/>
      <c r="F14" s="3"/>
      <c r="G14" s="9"/>
      <c r="J14" s="5"/>
    </row>
    <row r="17" spans="1:12" ht="12.75">
      <c r="A17" s="32" t="s">
        <v>198</v>
      </c>
      <c r="B17" s="33">
        <f>B8*F7/10</f>
        <v>2314.2</v>
      </c>
      <c r="C17" s="9" t="s">
        <v>30</v>
      </c>
      <c r="D17" s="33"/>
      <c r="E17" s="15" t="s">
        <v>199</v>
      </c>
      <c r="F17" s="5">
        <v>0.48</v>
      </c>
      <c r="H17" s="32" t="s">
        <v>208</v>
      </c>
      <c r="I17" s="33">
        <f>0.12*B8*B6*F7/1000</f>
        <v>194.3928</v>
      </c>
      <c r="J17" s="9" t="s">
        <v>24</v>
      </c>
      <c r="K17" s="35"/>
      <c r="L17" s="35"/>
    </row>
    <row r="19" spans="1:7" ht="12.75">
      <c r="A19" s="32" t="s">
        <v>214</v>
      </c>
      <c r="B19" s="33">
        <f>B13-I17*(1-((B14+0.48*B17)/(0.48*B17))^2)</f>
        <v>90.43557168784038</v>
      </c>
      <c r="C19" s="9" t="s">
        <v>24</v>
      </c>
      <c r="E19" s="2" t="s">
        <v>204</v>
      </c>
      <c r="F19" s="5">
        <f>2*B19/B20/F13*1000</f>
        <v>7.802290735649551</v>
      </c>
      <c r="G19" s="9" t="s">
        <v>5</v>
      </c>
    </row>
    <row r="20" spans="1:7" ht="12.75">
      <c r="A20" s="2" t="s">
        <v>215</v>
      </c>
      <c r="B20" s="2">
        <f>B6-2*B7</f>
        <v>62</v>
      </c>
      <c r="C20" s="41" t="s">
        <v>3</v>
      </c>
      <c r="E20" s="2" t="s">
        <v>10</v>
      </c>
      <c r="F20" s="5">
        <f>F19/2</f>
        <v>3.9011453678247756</v>
      </c>
      <c r="G20" s="9" t="s">
        <v>5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218</v>
      </c>
    </row>
    <row r="2" ht="12.75">
      <c r="A2" s="1" t="s">
        <v>217</v>
      </c>
    </row>
    <row r="4" spans="2:4" ht="12.75">
      <c r="B4" s="2"/>
      <c r="C4" s="2"/>
      <c r="D4" s="2"/>
    </row>
    <row r="5" spans="1:10" ht="12.75">
      <c r="A5" s="2" t="s">
        <v>203</v>
      </c>
      <c r="B5" s="2">
        <v>40</v>
      </c>
      <c r="C5" s="41" t="s">
        <v>3</v>
      </c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7" ht="12.75">
      <c r="A6" s="2" t="s">
        <v>6</v>
      </c>
      <c r="B6" s="2">
        <f>B5</f>
        <v>40</v>
      </c>
      <c r="C6" s="41" t="s">
        <v>3</v>
      </c>
      <c r="D6" s="2"/>
      <c r="E6" s="15" t="s">
        <v>137</v>
      </c>
      <c r="F6" s="2">
        <v>1.6</v>
      </c>
      <c r="G6" s="2"/>
    </row>
    <row r="7" spans="1:10" ht="12.75">
      <c r="A7" s="2" t="s">
        <v>8</v>
      </c>
      <c r="B7" s="2">
        <v>4</v>
      </c>
      <c r="C7" s="41" t="s">
        <v>3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 t="s">
        <v>81</v>
      </c>
      <c r="B8" s="3">
        <f>PI()*B5^2/4</f>
        <v>1256.6370614359173</v>
      </c>
      <c r="C8" s="9" t="s">
        <v>5</v>
      </c>
    </row>
    <row r="9" spans="3:5" ht="12.75">
      <c r="C9" s="6"/>
      <c r="D9" s="2"/>
      <c r="E9" s="2" t="s">
        <v>139</v>
      </c>
    </row>
    <row r="10" spans="1:7" ht="12.75">
      <c r="A10" s="2" t="s">
        <v>204</v>
      </c>
      <c r="B10" s="2">
        <v>16</v>
      </c>
      <c r="C10" s="9" t="s">
        <v>5</v>
      </c>
      <c r="E10" s="2" t="s">
        <v>142</v>
      </c>
      <c r="F10" s="2">
        <v>430</v>
      </c>
      <c r="G10" s="9" t="s">
        <v>17</v>
      </c>
    </row>
    <row r="11" spans="1:7" ht="12.75">
      <c r="A11" s="15" t="s">
        <v>205</v>
      </c>
      <c r="B11" s="38">
        <f>B10/B8*F13/F7</f>
        <v>0.43200024117647673</v>
      </c>
      <c r="C11" s="9"/>
      <c r="E11" s="2" t="s">
        <v>16</v>
      </c>
      <c r="F11" s="2">
        <v>200000</v>
      </c>
      <c r="G11" s="9" t="s">
        <v>17</v>
      </c>
    </row>
    <row r="12" spans="5:10" ht="12.75">
      <c r="E12" s="15" t="s">
        <v>141</v>
      </c>
      <c r="F12" s="2">
        <v>1.15</v>
      </c>
      <c r="J12" s="2"/>
    </row>
    <row r="13" spans="1:10" ht="12.75">
      <c r="A13" s="2" t="s">
        <v>23</v>
      </c>
      <c r="B13" s="2">
        <v>90</v>
      </c>
      <c r="C13" s="9" t="s">
        <v>24</v>
      </c>
      <c r="E13" s="2" t="s">
        <v>140</v>
      </c>
      <c r="F13" s="3">
        <f>ROUND(F10/F12,1)</f>
        <v>373.9</v>
      </c>
      <c r="G13" s="9" t="s">
        <v>17</v>
      </c>
      <c r="J13" s="5"/>
    </row>
    <row r="14" spans="1:10" ht="12.75">
      <c r="A14" s="2" t="s">
        <v>35</v>
      </c>
      <c r="B14" s="2">
        <v>-800</v>
      </c>
      <c r="C14" s="9" t="s">
        <v>30</v>
      </c>
      <c r="E14" s="2"/>
      <c r="F14" s="3"/>
      <c r="G14" s="9"/>
      <c r="J14" s="5"/>
    </row>
    <row r="17" spans="1:12" ht="12.75">
      <c r="A17" s="32" t="s">
        <v>198</v>
      </c>
      <c r="B17" s="33">
        <f>B8*F7/10</f>
        <v>1384.8140417023808</v>
      </c>
      <c r="C17" s="9" t="s">
        <v>30</v>
      </c>
      <c r="D17" s="33"/>
      <c r="E17" s="15" t="s">
        <v>199</v>
      </c>
      <c r="F17" s="5">
        <v>0.48</v>
      </c>
      <c r="H17" s="32" t="s">
        <v>208</v>
      </c>
      <c r="I17" s="33">
        <f>0.1*B8*B6*F7/1000</f>
        <v>55.39256166809523</v>
      </c>
      <c r="J17" s="9" t="s">
        <v>24</v>
      </c>
      <c r="K17" s="35"/>
      <c r="L17" s="35"/>
    </row>
    <row r="19" spans="1:7" ht="12.75">
      <c r="A19" s="32" t="s">
        <v>214</v>
      </c>
      <c r="B19" s="33">
        <f>B13-I17*(1-((B14+0.48*B17)/(0.48*B17))^2)</f>
        <v>36.9020685077109</v>
      </c>
      <c r="C19" s="9" t="s">
        <v>24</v>
      </c>
      <c r="E19" s="2" t="s">
        <v>204</v>
      </c>
      <c r="F19" s="5">
        <f>2*B19/B20/F13*1000</f>
        <v>10.821822523762954</v>
      </c>
      <c r="G19" s="9" t="s">
        <v>5</v>
      </c>
    </row>
    <row r="20" spans="1:7" ht="12.75">
      <c r="A20" s="2" t="s">
        <v>215</v>
      </c>
      <c r="B20" s="5">
        <f>0.6*(B6-2.4*B7)</f>
        <v>18.24</v>
      </c>
      <c r="C20" s="41" t="s">
        <v>3</v>
      </c>
      <c r="E20" s="2"/>
      <c r="F20" s="5"/>
      <c r="G20" s="9"/>
    </row>
    <row r="21" spans="2:6" ht="12.75">
      <c r="B21" s="5">
        <f>B20/B22</f>
        <v>18.38799878556098</v>
      </c>
      <c r="F21" s="5">
        <f>F19*B22</f>
        <v>10.73472133294</v>
      </c>
    </row>
    <row r="22" spans="1:2" ht="12.75">
      <c r="A22" s="2" t="s">
        <v>149</v>
      </c>
      <c r="B22" s="7">
        <f>1-(-2*B14/B17-1)^2/3</f>
        <v>0.9919513380826848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219</v>
      </c>
    </row>
    <row r="2" ht="12.75">
      <c r="A2" s="1" t="s">
        <v>217</v>
      </c>
    </row>
    <row r="4" spans="2:4" ht="12.75">
      <c r="B4" s="2"/>
      <c r="C4" s="2"/>
      <c r="D4" s="2"/>
    </row>
    <row r="5" spans="1:10" ht="12.75">
      <c r="A5" s="2" t="s">
        <v>203</v>
      </c>
      <c r="B5" s="2">
        <v>40</v>
      </c>
      <c r="C5" s="41" t="s">
        <v>3</v>
      </c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7" ht="12.75">
      <c r="A6" s="2" t="s">
        <v>6</v>
      </c>
      <c r="B6" s="2">
        <f>B5</f>
        <v>40</v>
      </c>
      <c r="C6" s="41" t="s">
        <v>3</v>
      </c>
      <c r="D6" s="2"/>
      <c r="E6" s="15" t="s">
        <v>137</v>
      </c>
      <c r="F6" s="2">
        <v>1.6</v>
      </c>
      <c r="G6" s="2"/>
    </row>
    <row r="7" spans="1:10" ht="12.75">
      <c r="A7" s="2" t="s">
        <v>8</v>
      </c>
      <c r="B7" s="2">
        <v>4</v>
      </c>
      <c r="C7" s="41" t="s">
        <v>3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 t="s">
        <v>81</v>
      </c>
      <c r="B8" s="3">
        <f>PI()*B5^2/4</f>
        <v>1256.6370614359173</v>
      </c>
      <c r="C8" s="9" t="s">
        <v>5</v>
      </c>
    </row>
    <row r="9" spans="3:5" ht="12.75">
      <c r="C9" s="6"/>
      <c r="D9" s="2"/>
      <c r="E9" s="2" t="s">
        <v>139</v>
      </c>
    </row>
    <row r="10" spans="1:7" ht="12.75">
      <c r="A10" s="2" t="s">
        <v>204</v>
      </c>
      <c r="B10" s="2">
        <v>16</v>
      </c>
      <c r="C10" s="9" t="s">
        <v>5</v>
      </c>
      <c r="E10" s="2" t="s">
        <v>142</v>
      </c>
      <c r="F10" s="2">
        <v>430</v>
      </c>
      <c r="G10" s="9" t="s">
        <v>17</v>
      </c>
    </row>
    <row r="11" spans="1:7" ht="12.75">
      <c r="A11" s="15" t="s">
        <v>205</v>
      </c>
      <c r="B11" s="38">
        <f>B10/B8*F13/F7</f>
        <v>0.43200024117647673</v>
      </c>
      <c r="C11" s="9"/>
      <c r="E11" s="2" t="s">
        <v>16</v>
      </c>
      <c r="F11" s="2">
        <v>200000</v>
      </c>
      <c r="G11" s="9" t="s">
        <v>17</v>
      </c>
    </row>
    <row r="12" spans="5:10" ht="12.75">
      <c r="E12" s="15" t="s">
        <v>141</v>
      </c>
      <c r="F12" s="2">
        <v>1.15</v>
      </c>
      <c r="J12" s="2"/>
    </row>
    <row r="13" spans="1:10" ht="12.75">
      <c r="A13" s="2" t="s">
        <v>23</v>
      </c>
      <c r="B13" s="2">
        <v>90</v>
      </c>
      <c r="C13" s="9" t="s">
        <v>24</v>
      </c>
      <c r="E13" s="2" t="s">
        <v>140</v>
      </c>
      <c r="F13" s="3">
        <f>ROUND(F10/F12,1)</f>
        <v>373.9</v>
      </c>
      <c r="G13" s="9" t="s">
        <v>17</v>
      </c>
      <c r="J13" s="5"/>
    </row>
    <row r="14" spans="1:10" ht="12.75">
      <c r="A14" s="2" t="s">
        <v>35</v>
      </c>
      <c r="B14" s="2">
        <v>0</v>
      </c>
      <c r="C14" s="9" t="s">
        <v>30</v>
      </c>
      <c r="E14" s="2"/>
      <c r="F14" s="3"/>
      <c r="G14" s="9"/>
      <c r="J14" s="5"/>
    </row>
    <row r="17" spans="1:12" ht="12.75">
      <c r="A17" s="32" t="s">
        <v>198</v>
      </c>
      <c r="B17" s="33">
        <f>B8*F7/10</f>
        <v>1384.8140417023808</v>
      </c>
      <c r="C17" s="9" t="s">
        <v>30</v>
      </c>
      <c r="D17" s="33"/>
      <c r="E17" s="15" t="s">
        <v>199</v>
      </c>
      <c r="F17" s="5">
        <v>0.48</v>
      </c>
      <c r="H17" s="32" t="s">
        <v>208</v>
      </c>
      <c r="I17" s="33">
        <f>0.1*B8*B6*F7/1000</f>
        <v>55.39256166809523</v>
      </c>
      <c r="J17" s="9" t="s">
        <v>24</v>
      </c>
      <c r="K17" s="35"/>
      <c r="L17" s="35"/>
    </row>
    <row r="19" spans="1:7" ht="12.75">
      <c r="A19" s="32" t="s">
        <v>214</v>
      </c>
      <c r="B19" s="33">
        <f>B13-I17*(1-((B14+0.48*B17)/(0.48*B17))^2)</f>
        <v>90</v>
      </c>
      <c r="C19" s="9" t="s">
        <v>24</v>
      </c>
      <c r="E19" s="2" t="s">
        <v>204</v>
      </c>
      <c r="F19" s="5">
        <f>2*B19/B20/F13*1000</f>
        <v>26.393209555045683</v>
      </c>
      <c r="G19" s="9" t="s">
        <v>5</v>
      </c>
    </row>
    <row r="20" spans="1:7" ht="12.75">
      <c r="A20" s="2" t="s">
        <v>215</v>
      </c>
      <c r="B20" s="5">
        <f>0.6*(B6-2.4*B7)</f>
        <v>18.24</v>
      </c>
      <c r="C20" s="41" t="s">
        <v>3</v>
      </c>
      <c r="E20" s="2"/>
      <c r="F20" s="5"/>
      <c r="G20" s="9"/>
    </row>
    <row r="21" spans="2:6" ht="12.75">
      <c r="B21" s="5">
        <f>B20/B22</f>
        <v>27.359999999999996</v>
      </c>
      <c r="F21" s="5">
        <f>F19*B22</f>
        <v>17.595473036697125</v>
      </c>
    </row>
    <row r="22" spans="1:2" ht="12.75">
      <c r="A22" s="2" t="s">
        <v>149</v>
      </c>
      <c r="B22" s="7">
        <f>1-(-2*B14/B17-1)^2/3</f>
        <v>0.6666666666666667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220</v>
      </c>
    </row>
    <row r="2" ht="12.75">
      <c r="A2" s="1" t="s">
        <v>195</v>
      </c>
    </row>
    <row r="4" spans="3:4" ht="12.75">
      <c r="C4" s="2"/>
      <c r="D4" s="2"/>
    </row>
    <row r="5" spans="1:10" ht="12.75">
      <c r="A5" s="2" t="s">
        <v>2</v>
      </c>
      <c r="B5" s="2">
        <v>30</v>
      </c>
      <c r="C5" s="9" t="s">
        <v>3</v>
      </c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7" ht="12.75">
      <c r="A6" s="2" t="s">
        <v>6</v>
      </c>
      <c r="B6" s="2" t="s">
        <v>196</v>
      </c>
      <c r="C6" s="5"/>
      <c r="D6" s="2"/>
      <c r="E6" s="15" t="s">
        <v>137</v>
      </c>
      <c r="F6" s="2">
        <v>1.6</v>
      </c>
      <c r="G6" s="2"/>
    </row>
    <row r="7" spans="1:10" ht="12.75">
      <c r="A7" s="2" t="s">
        <v>8</v>
      </c>
      <c r="B7" s="2">
        <v>4</v>
      </c>
      <c r="C7" s="9" t="s">
        <v>3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/>
      <c r="B8" s="2"/>
      <c r="C8" s="2"/>
    </row>
    <row r="9" spans="1:5" ht="12.75">
      <c r="A9" s="2" t="s">
        <v>10</v>
      </c>
      <c r="B9" s="2" t="s">
        <v>196</v>
      </c>
      <c r="C9" s="6"/>
      <c r="D9" s="2"/>
      <c r="E9" s="2" t="s">
        <v>139</v>
      </c>
    </row>
    <row r="10" spans="1:7" ht="12.75">
      <c r="A10" s="2" t="s">
        <v>12</v>
      </c>
      <c r="B10" s="2" t="str">
        <f>B9</f>
        <v>?</v>
      </c>
      <c r="C10" s="6"/>
      <c r="E10" s="2" t="s">
        <v>142</v>
      </c>
      <c r="F10" s="2">
        <v>430</v>
      </c>
      <c r="G10" s="9" t="s">
        <v>17</v>
      </c>
    </row>
    <row r="11" spans="1:7" ht="12.75">
      <c r="A11" s="2"/>
      <c r="B11" s="2"/>
      <c r="C11" s="2"/>
      <c r="E11" s="2" t="s">
        <v>16</v>
      </c>
      <c r="F11" s="2">
        <v>200000</v>
      </c>
      <c r="G11" s="9" t="s">
        <v>17</v>
      </c>
    </row>
    <row r="12" spans="1:10" ht="12.75">
      <c r="A12" s="2" t="s">
        <v>23</v>
      </c>
      <c r="B12" s="2">
        <v>210</v>
      </c>
      <c r="C12" s="9" t="s">
        <v>24</v>
      </c>
      <c r="E12" s="15" t="s">
        <v>141</v>
      </c>
      <c r="F12" s="2">
        <v>1.15</v>
      </c>
      <c r="J12" s="2"/>
    </row>
    <row r="13" spans="1:10" ht="12.75">
      <c r="A13" s="2" t="s">
        <v>35</v>
      </c>
      <c r="B13" s="2">
        <v>-600</v>
      </c>
      <c r="C13" s="9" t="s">
        <v>30</v>
      </c>
      <c r="E13" s="2" t="s">
        <v>140</v>
      </c>
      <c r="F13" s="3">
        <f>ROUND(F10/F12,1)</f>
        <v>373.9</v>
      </c>
      <c r="G13" s="9" t="s">
        <v>17</v>
      </c>
      <c r="J13" s="5"/>
    </row>
    <row r="14" spans="1:10" ht="12.75">
      <c r="A14" s="32"/>
      <c r="B14" s="33"/>
      <c r="C14" s="34"/>
      <c r="D14" s="35"/>
      <c r="E14" s="32"/>
      <c r="F14" s="33"/>
      <c r="G14" s="32"/>
      <c r="H14" s="35"/>
      <c r="I14" s="35"/>
      <c r="J14" s="35"/>
    </row>
    <row r="15" spans="1:7" ht="12.75">
      <c r="A15" s="32" t="s">
        <v>197</v>
      </c>
      <c r="B15" s="7">
        <v>0.02</v>
      </c>
      <c r="E15" s="32" t="s">
        <v>6</v>
      </c>
      <c r="F15" s="3">
        <f>B15*SQRT(B12/(B5/100))*100</f>
        <v>52.91502622129182</v>
      </c>
      <c r="G15" s="9" t="s">
        <v>3</v>
      </c>
    </row>
    <row r="16" ht="12.75">
      <c r="E16" s="15"/>
    </row>
    <row r="17" spans="1:11" ht="12.75">
      <c r="A17" s="32" t="s">
        <v>6</v>
      </c>
      <c r="B17" s="2">
        <v>60</v>
      </c>
      <c r="D17" s="32" t="s">
        <v>198</v>
      </c>
      <c r="E17" s="33">
        <f>$B$5*B17*$F$7/10</f>
        <v>1983.6</v>
      </c>
      <c r="F17" s="9" t="s">
        <v>30</v>
      </c>
      <c r="G17" s="15" t="s">
        <v>21</v>
      </c>
      <c r="H17" s="7">
        <f>-$B$13/E17</f>
        <v>0.3024803387779794</v>
      </c>
      <c r="J17" s="15" t="s">
        <v>205</v>
      </c>
      <c r="K17" s="7">
        <f>K19/$B$5/B17*$F$13/$F$7</f>
        <v>0.16813847301889173</v>
      </c>
    </row>
    <row r="18" spans="1:9" ht="12.75">
      <c r="A18" s="32" t="s">
        <v>197</v>
      </c>
      <c r="B18" s="6">
        <f>B17/100/SQRT($B$12/($B$5/100))</f>
        <v>0.022677868380553634</v>
      </c>
      <c r="D18" s="15" t="s">
        <v>205</v>
      </c>
      <c r="E18" s="2">
        <v>0.182</v>
      </c>
      <c r="G18" s="33" t="s">
        <v>204</v>
      </c>
      <c r="H18" s="5">
        <f>E18*$B$5*B17/($F$13/$F$7)</f>
        <v>9.655394490505484</v>
      </c>
      <c r="I18" s="9" t="s">
        <v>5</v>
      </c>
    </row>
    <row r="19" spans="4:12" ht="12.75">
      <c r="D19" s="32" t="s">
        <v>208</v>
      </c>
      <c r="E19" s="33">
        <f>0.12*$B$5*B17^2*$F$7/1000</f>
        <v>142.8192</v>
      </c>
      <c r="F19" s="9" t="s">
        <v>24</v>
      </c>
      <c r="G19" s="39" t="s">
        <v>193</v>
      </c>
      <c r="H19" s="3">
        <f>ABS($B$12)-E19*(1-(($B$13+0.48*E17)/(0.48*E17))^2)</f>
        <v>86.71506352087114</v>
      </c>
      <c r="I19" s="9" t="s">
        <v>24</v>
      </c>
      <c r="J19" s="33" t="s">
        <v>204</v>
      </c>
      <c r="K19" s="5">
        <f>H19/(B17-2*$B$7)/$F$13*1000*2</f>
        <v>8.920018055102263</v>
      </c>
      <c r="L19" s="9" t="s">
        <v>5</v>
      </c>
    </row>
    <row r="21" spans="1:11" ht="12.75">
      <c r="A21" s="32" t="s">
        <v>6</v>
      </c>
      <c r="B21" s="2">
        <v>50</v>
      </c>
      <c r="D21" s="32" t="s">
        <v>187</v>
      </c>
      <c r="E21" s="33">
        <f>$B$5*B21*$F$7/10</f>
        <v>1653</v>
      </c>
      <c r="F21" s="9" t="s">
        <v>30</v>
      </c>
      <c r="G21" s="15" t="s">
        <v>21</v>
      </c>
      <c r="H21" s="7">
        <f>-$B$13/E21</f>
        <v>0.3629764065335753</v>
      </c>
      <c r="J21" s="15" t="s">
        <v>205</v>
      </c>
      <c r="K21" s="7">
        <f>K23/$B$5/B21*$F$13/$F$7</f>
        <v>0.33257169829086164</v>
      </c>
    </row>
    <row r="22" spans="1:9" ht="12.75">
      <c r="A22" s="32" t="s">
        <v>197</v>
      </c>
      <c r="B22" s="6">
        <f>B21/100/SQRT($B$12/($B$5/100))</f>
        <v>0.01889822365046136</v>
      </c>
      <c r="D22" s="15" t="s">
        <v>205</v>
      </c>
      <c r="E22" s="2">
        <v>0.354</v>
      </c>
      <c r="G22" s="33" t="s">
        <v>204</v>
      </c>
      <c r="H22" s="5">
        <f>E22*$B$5*B21/($F$13/$F$7)</f>
        <v>15.650227333511635</v>
      </c>
      <c r="I22" s="9" t="s">
        <v>5</v>
      </c>
    </row>
    <row r="23" spans="4:12" ht="12.75">
      <c r="D23" s="32" t="s">
        <v>188</v>
      </c>
      <c r="E23" s="33">
        <f>289/2376*$B$5*B21^2*$F$7/1000</f>
        <v>100.52967171717172</v>
      </c>
      <c r="F23" s="9" t="s">
        <v>24</v>
      </c>
      <c r="G23" s="39" t="s">
        <v>193</v>
      </c>
      <c r="H23" s="3">
        <f>ABS($B$12)-E23*(1-(($B$13+0.48*E21)/(0.48*E21))^2)</f>
        <v>115.44561362770679</v>
      </c>
      <c r="I23" s="9" t="s">
        <v>24</v>
      </c>
      <c r="J23" s="33" t="s">
        <v>204</v>
      </c>
      <c r="K23" s="5">
        <f>H23/(B21-2*$B$7)/$F$13*1000*2</f>
        <v>14.702888934870133</v>
      </c>
      <c r="L23" s="9" t="s">
        <v>5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222</v>
      </c>
    </row>
    <row r="2" ht="12.75">
      <c r="A2" s="1" t="s">
        <v>221</v>
      </c>
    </row>
    <row r="4" spans="3:4" ht="12.75">
      <c r="C4" s="2"/>
      <c r="D4" s="2"/>
    </row>
    <row r="5" spans="1:10" ht="12.75">
      <c r="A5" s="2" t="s">
        <v>203</v>
      </c>
      <c r="B5" s="2" t="s">
        <v>196</v>
      </c>
      <c r="C5" s="9"/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7" ht="12.75">
      <c r="A6" s="2"/>
      <c r="B6" s="2"/>
      <c r="C6" s="5"/>
      <c r="D6" s="2"/>
      <c r="E6" s="15" t="s">
        <v>137</v>
      </c>
      <c r="F6" s="2">
        <v>1.6</v>
      </c>
      <c r="G6" s="2"/>
    </row>
    <row r="7" spans="1:10" ht="12.75">
      <c r="A7" s="2" t="s">
        <v>8</v>
      </c>
      <c r="B7" s="2">
        <v>4</v>
      </c>
      <c r="C7" s="9" t="s">
        <v>3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/>
      <c r="B8" s="2"/>
      <c r="C8" s="2"/>
    </row>
    <row r="9" spans="1:5" ht="12.75">
      <c r="A9" s="2" t="s">
        <v>10</v>
      </c>
      <c r="B9" s="2" t="s">
        <v>196</v>
      </c>
      <c r="C9" s="6"/>
      <c r="D9" s="2"/>
      <c r="E9" s="2" t="s">
        <v>139</v>
      </c>
    </row>
    <row r="10" spans="1:7" ht="12.75">
      <c r="A10" s="2" t="s">
        <v>12</v>
      </c>
      <c r="B10" s="2" t="str">
        <f>B9</f>
        <v>?</v>
      </c>
      <c r="C10" s="6"/>
      <c r="E10" s="2" t="s">
        <v>142</v>
      </c>
      <c r="F10" s="2">
        <v>430</v>
      </c>
      <c r="G10" s="9" t="s">
        <v>17</v>
      </c>
    </row>
    <row r="11" spans="1:7" ht="12.75">
      <c r="A11" s="2"/>
      <c r="B11" s="2"/>
      <c r="C11" s="2"/>
      <c r="E11" s="2" t="s">
        <v>16</v>
      </c>
      <c r="F11" s="2">
        <v>200000</v>
      </c>
      <c r="G11" s="9" t="s">
        <v>17</v>
      </c>
    </row>
    <row r="12" spans="1:10" ht="12.75">
      <c r="A12" s="2" t="s">
        <v>23</v>
      </c>
      <c r="B12" s="2">
        <v>120</v>
      </c>
      <c r="C12" s="9" t="s">
        <v>24</v>
      </c>
      <c r="E12" s="15" t="s">
        <v>141</v>
      </c>
      <c r="F12" s="2">
        <v>1.15</v>
      </c>
      <c r="J12" s="2"/>
    </row>
    <row r="13" spans="1:10" ht="12.75">
      <c r="A13" s="2" t="s">
        <v>35</v>
      </c>
      <c r="B13" s="2">
        <v>-1800</v>
      </c>
      <c r="C13" s="9" t="s">
        <v>30</v>
      </c>
      <c r="E13" s="2" t="s">
        <v>140</v>
      </c>
      <c r="F13" s="3">
        <f>ROUND(F10/F12,1)</f>
        <v>373.9</v>
      </c>
      <c r="G13" s="9" t="s">
        <v>17</v>
      </c>
      <c r="J13" s="5"/>
    </row>
    <row r="14" spans="1:10" ht="12.75">
      <c r="A14" s="32"/>
      <c r="B14" s="33"/>
      <c r="C14" s="34"/>
      <c r="D14" s="35"/>
      <c r="E14" s="32"/>
      <c r="F14" s="33"/>
      <c r="G14" s="32"/>
      <c r="H14" s="35"/>
      <c r="I14" s="35"/>
      <c r="J14" s="35"/>
    </row>
    <row r="15" spans="1:7" ht="12.75">
      <c r="A15" s="32" t="s">
        <v>197</v>
      </c>
      <c r="B15" s="7">
        <v>0.089</v>
      </c>
      <c r="E15" s="32" t="s">
        <v>203</v>
      </c>
      <c r="F15" s="3">
        <f>B15*B12^(1/3)*100</f>
        <v>43.898574923082364</v>
      </c>
      <c r="G15" s="9" t="s">
        <v>3</v>
      </c>
    </row>
    <row r="16" ht="12.75">
      <c r="E16" s="15"/>
    </row>
    <row r="17" spans="1:11" ht="12.75">
      <c r="A17" s="32" t="s">
        <v>203</v>
      </c>
      <c r="B17" s="2">
        <v>45</v>
      </c>
      <c r="D17" s="32" t="s">
        <v>198</v>
      </c>
      <c r="E17" s="33">
        <f>B19*$F$7/10</f>
        <v>1752.6552715295754</v>
      </c>
      <c r="F17" s="9" t="s">
        <v>30</v>
      </c>
      <c r="G17" s="15" t="s">
        <v>21</v>
      </c>
      <c r="H17" s="7">
        <f>-$B$13/E17</f>
        <v>1.0270131435653664</v>
      </c>
      <c r="J17" s="15" t="s">
        <v>205</v>
      </c>
      <c r="K17" s="7">
        <f>K19/B19*$F$13/$F$7</f>
        <v>0.7712769224185941</v>
      </c>
    </row>
    <row r="18" spans="1:11" ht="12.75">
      <c r="A18" s="32" t="s">
        <v>197</v>
      </c>
      <c r="B18" s="6">
        <f>B17/100/$B$12^(1/3)</f>
        <v>0.09123302993360101</v>
      </c>
      <c r="D18" s="15" t="s">
        <v>205</v>
      </c>
      <c r="E18" s="2">
        <v>0.567</v>
      </c>
      <c r="G18" s="33" t="s">
        <v>204</v>
      </c>
      <c r="H18" s="5">
        <f>E18*B19/($F$13/$F$7)</f>
        <v>26.57811016200239</v>
      </c>
      <c r="I18" s="9" t="s">
        <v>5</v>
      </c>
      <c r="K18" s="5">
        <f>K19*(1-(-2*$B$13/E17-1)^2/3)</f>
        <v>22.765052200122053</v>
      </c>
    </row>
    <row r="19" spans="1:12" ht="12.75">
      <c r="A19" s="32" t="s">
        <v>81</v>
      </c>
      <c r="B19" s="3">
        <f>PI()*B17^2/4</f>
        <v>1590.4312808798327</v>
      </c>
      <c r="D19" s="32" t="s">
        <v>208</v>
      </c>
      <c r="E19" s="33">
        <f>0.1*B19*B17*$F$7/1000</f>
        <v>78.86948721883091</v>
      </c>
      <c r="F19" s="9" t="s">
        <v>24</v>
      </c>
      <c r="G19" s="39" t="s">
        <v>193</v>
      </c>
      <c r="H19" s="3">
        <f>ABS($B$12)-E19*(1-(($B$13+0.48*E17)/(0.48*E17))^2)</f>
        <v>143.55930828469917</v>
      </c>
      <c r="I19" s="9" t="s">
        <v>24</v>
      </c>
      <c r="J19" s="33" t="s">
        <v>204</v>
      </c>
      <c r="K19" s="5">
        <f>H19/(0.6*(B17-2.4*$B$7))/$F$13*1000*2</f>
        <v>36.1535855545883</v>
      </c>
      <c r="L19" s="9" t="s">
        <v>5</v>
      </c>
    </row>
    <row r="21" spans="1:11" ht="12.75">
      <c r="A21" s="32" t="s">
        <v>6</v>
      </c>
      <c r="B21" s="2">
        <v>50</v>
      </c>
      <c r="D21" s="32" t="s">
        <v>198</v>
      </c>
      <c r="E21" s="33">
        <f>B23*$F$7/10</f>
        <v>2163.77194015997</v>
      </c>
      <c r="F21" s="9" t="s">
        <v>30</v>
      </c>
      <c r="G21" s="15" t="s">
        <v>21</v>
      </c>
      <c r="H21" s="7">
        <f>-$B$13/E21</f>
        <v>0.8318806462879466</v>
      </c>
      <c r="J21" s="15" t="s">
        <v>205</v>
      </c>
      <c r="K21" s="7">
        <f>K23/B23*$F$13/$F$7</f>
        <v>0.2667439532834276</v>
      </c>
    </row>
    <row r="22" spans="1:11" ht="12.75">
      <c r="A22" s="32" t="s">
        <v>197</v>
      </c>
      <c r="B22" s="6">
        <f>B21/100/$B$12^(1/3)</f>
        <v>0.10137003325955668</v>
      </c>
      <c r="D22" s="15" t="s">
        <v>205</v>
      </c>
      <c r="E22" s="2">
        <v>0.226</v>
      </c>
      <c r="G22" s="33" t="s">
        <v>204</v>
      </c>
      <c r="H22" s="5">
        <f>E22*B23/($F$13/$F$7)</f>
        <v>13.078696402143708</v>
      </c>
      <c r="I22" s="9" t="s">
        <v>5</v>
      </c>
      <c r="K22" s="5">
        <f>K23*(1-(-2*$B$13/E21-1)^2/3)</f>
        <v>13.169554016928082</v>
      </c>
    </row>
    <row r="23" spans="1:12" ht="12.75">
      <c r="A23" s="32" t="s">
        <v>81</v>
      </c>
      <c r="B23" s="3">
        <f>PI()*B21^2/4</f>
        <v>1963.4954084936207</v>
      </c>
      <c r="D23" s="32" t="s">
        <v>208</v>
      </c>
      <c r="E23" s="33">
        <f>0.1*B23*B21*$F$7/1000</f>
        <v>108.18859700799851</v>
      </c>
      <c r="F23" s="9" t="s">
        <v>24</v>
      </c>
      <c r="G23" s="39" t="s">
        <v>193</v>
      </c>
      <c r="H23" s="3">
        <f>ABS($B$12)-E23*(1-(($B$13+0.48*E21)/(0.48*E21))^2)</f>
        <v>69.95337745622912</v>
      </c>
      <c r="I23" s="9" t="s">
        <v>24</v>
      </c>
      <c r="J23" s="33" t="s">
        <v>204</v>
      </c>
      <c r="K23" s="5">
        <f>H23/(0.6*(B21-2.4*$B$7))/$F$13*1000*2</f>
        <v>15.436562752661743</v>
      </c>
      <c r="L23" s="9" t="s">
        <v>5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223</v>
      </c>
    </row>
    <row r="2" ht="12.75">
      <c r="A2" s="1" t="s">
        <v>224</v>
      </c>
    </row>
    <row r="4" spans="2:4" ht="12.75">
      <c r="B4" s="2"/>
      <c r="C4" s="2"/>
      <c r="D4" s="2"/>
    </row>
    <row r="5" spans="1:10" ht="12.75">
      <c r="A5" s="2" t="s">
        <v>2</v>
      </c>
      <c r="B5" s="2">
        <v>30</v>
      </c>
      <c r="C5" s="41" t="s">
        <v>3</v>
      </c>
      <c r="D5" s="2"/>
      <c r="E5" s="2" t="s">
        <v>136</v>
      </c>
      <c r="F5" s="2">
        <v>25</v>
      </c>
      <c r="G5" s="9" t="s">
        <v>17</v>
      </c>
      <c r="I5" s="15" t="s">
        <v>145</v>
      </c>
      <c r="J5" s="2">
        <f>-0.0035</f>
        <v>-0.0035</v>
      </c>
    </row>
    <row r="6" spans="1:7" ht="12.75">
      <c r="A6" s="2" t="s">
        <v>6</v>
      </c>
      <c r="B6" s="2">
        <v>70</v>
      </c>
      <c r="C6" s="41" t="s">
        <v>3</v>
      </c>
      <c r="D6" s="2"/>
      <c r="E6" s="15" t="s">
        <v>137</v>
      </c>
      <c r="F6" s="2">
        <v>1.6</v>
      </c>
      <c r="G6" s="2"/>
    </row>
    <row r="7" spans="1:10" ht="12.75">
      <c r="A7" s="2" t="s">
        <v>8</v>
      </c>
      <c r="B7" s="2">
        <v>4</v>
      </c>
      <c r="C7" s="41" t="s">
        <v>3</v>
      </c>
      <c r="E7" s="15" t="s">
        <v>138</v>
      </c>
      <c r="F7" s="5">
        <f>ROUND(0.85*0.83*F5/F6,2)</f>
        <v>11.02</v>
      </c>
      <c r="G7" s="9" t="s">
        <v>17</v>
      </c>
      <c r="I7" s="15" t="s">
        <v>146</v>
      </c>
      <c r="J7" s="2">
        <f>F13/F11</f>
        <v>0.0018694999999999999</v>
      </c>
    </row>
    <row r="8" spans="1:3" ht="12.75">
      <c r="A8" s="2" t="s">
        <v>81</v>
      </c>
      <c r="B8" s="2">
        <f>B5*B6</f>
        <v>2100</v>
      </c>
      <c r="C8" s="9" t="s">
        <v>5</v>
      </c>
    </row>
    <row r="9" spans="3:5" ht="12.75">
      <c r="C9" s="6"/>
      <c r="D9" s="2"/>
      <c r="E9" s="2" t="s">
        <v>139</v>
      </c>
    </row>
    <row r="10" spans="1:7" ht="12.75">
      <c r="A10" s="2" t="s">
        <v>226</v>
      </c>
      <c r="B10" s="2">
        <f>4*3.14</f>
        <v>12.56</v>
      </c>
      <c r="C10" s="9" t="s">
        <v>5</v>
      </c>
      <c r="E10" s="2" t="s">
        <v>142</v>
      </c>
      <c r="F10" s="2">
        <v>430</v>
      </c>
      <c r="G10" s="9" t="s">
        <v>17</v>
      </c>
    </row>
    <row r="11" spans="1:7" ht="12.75">
      <c r="A11" s="2" t="s">
        <v>227</v>
      </c>
      <c r="B11" s="5">
        <f>2*3.14+3*1.54</f>
        <v>10.9</v>
      </c>
      <c r="C11" s="9" t="s">
        <v>5</v>
      </c>
      <c r="E11" s="2" t="s">
        <v>16</v>
      </c>
      <c r="F11" s="2">
        <v>200000</v>
      </c>
      <c r="G11" s="9" t="s">
        <v>17</v>
      </c>
    </row>
    <row r="12" spans="5:10" ht="12.75">
      <c r="E12" s="15" t="s">
        <v>141</v>
      </c>
      <c r="F12" s="2">
        <v>1.15</v>
      </c>
      <c r="J12" s="2"/>
    </row>
    <row r="13" spans="1:10" ht="12.75">
      <c r="A13" s="2" t="s">
        <v>225</v>
      </c>
      <c r="B13" s="2">
        <v>210</v>
      </c>
      <c r="C13" s="9" t="s">
        <v>24</v>
      </c>
      <c r="E13" s="2" t="s">
        <v>140</v>
      </c>
      <c r="F13" s="3">
        <f>ROUND(F10/F12,1)</f>
        <v>373.9</v>
      </c>
      <c r="G13" s="9" t="s">
        <v>17</v>
      </c>
      <c r="J13" s="5"/>
    </row>
    <row r="14" spans="1:10" ht="12.75">
      <c r="A14" s="2" t="s">
        <v>35</v>
      </c>
      <c r="B14" s="2">
        <v>-600</v>
      </c>
      <c r="C14" s="9" t="s">
        <v>30</v>
      </c>
      <c r="E14" s="2"/>
      <c r="F14" s="3"/>
      <c r="G14" s="9"/>
      <c r="J14" s="5"/>
    </row>
    <row r="15" spans="1:3" ht="12.75">
      <c r="A15" s="2" t="s">
        <v>229</v>
      </c>
      <c r="B15" s="2">
        <v>50</v>
      </c>
      <c r="C15" s="9" t="s">
        <v>24</v>
      </c>
    </row>
    <row r="16" spans="6:9" ht="12.75">
      <c r="F16" s="43" t="s">
        <v>74</v>
      </c>
      <c r="I16" s="43" t="s">
        <v>228</v>
      </c>
    </row>
    <row r="17" spans="1:12" ht="12.75">
      <c r="A17" s="32" t="s">
        <v>198</v>
      </c>
      <c r="B17" s="33">
        <f>B8*F7/10</f>
        <v>2314.2</v>
      </c>
      <c r="C17" s="9" t="s">
        <v>30</v>
      </c>
      <c r="E17" s="2" t="s">
        <v>207</v>
      </c>
      <c r="F17" s="3">
        <f>2*B10*F13/10</f>
        <v>939.2368</v>
      </c>
      <c r="G17" s="9" t="s">
        <v>30</v>
      </c>
      <c r="H17" s="2" t="s">
        <v>207</v>
      </c>
      <c r="I17" s="3">
        <f>2*B11*F13/10</f>
        <v>815.102</v>
      </c>
      <c r="J17" s="9" t="s">
        <v>30</v>
      </c>
      <c r="K17" s="35"/>
      <c r="L17" s="35"/>
    </row>
    <row r="18" spans="5:10" ht="12.75">
      <c r="E18" s="32" t="s">
        <v>208</v>
      </c>
      <c r="F18" s="33">
        <f>0.12*B8*B6*F7/1000</f>
        <v>194.3928</v>
      </c>
      <c r="G18" s="9" t="s">
        <v>24</v>
      </c>
      <c r="H18" s="32" t="s">
        <v>208</v>
      </c>
      <c r="I18" s="33">
        <f>0.12*B8*B5*F7/1000</f>
        <v>83.3112</v>
      </c>
      <c r="J18" s="9" t="s">
        <v>24</v>
      </c>
    </row>
    <row r="19" spans="1:10" ht="12.75">
      <c r="A19" s="38">
        <f>(B13/F21)^1.5</f>
        <v>0.3420434437929403</v>
      </c>
      <c r="B19" s="38">
        <f>(B15/I21)^1.5</f>
        <v>0.18882601306382168</v>
      </c>
      <c r="C19" s="42">
        <f>SUM(A19:B19)</f>
        <v>0.530869456856762</v>
      </c>
      <c r="E19" s="2" t="s">
        <v>209</v>
      </c>
      <c r="F19" s="3">
        <f>B10*(B6-2*B7)*F13/1000</f>
        <v>291.163408</v>
      </c>
      <c r="G19" s="9" t="s">
        <v>24</v>
      </c>
      <c r="H19" s="2" t="s">
        <v>209</v>
      </c>
      <c r="I19" s="3">
        <f>B11*(B5-2*B7)*F13/1000</f>
        <v>89.66122</v>
      </c>
      <c r="J19" s="9" t="s">
        <v>24</v>
      </c>
    </row>
    <row r="20" spans="1:9" ht="12.75">
      <c r="A20" s="2"/>
      <c r="B20" s="2"/>
      <c r="C20" s="41"/>
      <c r="E20" s="2" t="s">
        <v>189</v>
      </c>
      <c r="F20" s="7">
        <f>1+0.5*$B$17/(0.5*$B$17+F17)</f>
        <v>1.5519628334530977</v>
      </c>
      <c r="H20" s="2" t="s">
        <v>189</v>
      </c>
      <c r="I20" s="7">
        <f>1+0.5*$B$17/(0.5*$B$17+I17)</f>
        <v>1.5867046073373823</v>
      </c>
    </row>
    <row r="21" spans="5:10" ht="12.75">
      <c r="E21" s="2" t="s">
        <v>230</v>
      </c>
      <c r="F21" s="3">
        <f>(F18+F19)*(1-(ABS($B$14+0.48*$B$17)/(0.48*$B$17+F17))^F20)</f>
        <v>429.37008310158035</v>
      </c>
      <c r="G21" s="9" t="s">
        <v>24</v>
      </c>
      <c r="H21" s="2" t="s">
        <v>230</v>
      </c>
      <c r="I21" s="3">
        <f>(I18+I19)*(1-(ABS($B$14+0.48*$B$17)/(0.48*$B$17+I17))^I20)</f>
        <v>151.91318016950044</v>
      </c>
      <c r="J21" s="9" t="s">
        <v>24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3" sqref="A3"/>
    </sheetView>
  </sheetViews>
  <sheetFormatPr defaultColWidth="9.140625" defaultRowHeight="12.75"/>
  <cols>
    <col min="6" max="6" width="9.57421875" style="0" bestFit="1" customWidth="1"/>
  </cols>
  <sheetData>
    <row r="1" ht="12.75">
      <c r="A1" s="1" t="s">
        <v>54</v>
      </c>
    </row>
    <row r="2" ht="12.75">
      <c r="A2" s="1" t="s">
        <v>53</v>
      </c>
    </row>
    <row r="4" spans="1:7" ht="12.75">
      <c r="A4" s="2" t="s">
        <v>2</v>
      </c>
      <c r="B4" s="2">
        <v>30</v>
      </c>
      <c r="C4" s="5">
        <f>B4/100</f>
        <v>0.3</v>
      </c>
      <c r="E4" s="2" t="s">
        <v>23</v>
      </c>
      <c r="F4" s="2">
        <v>40</v>
      </c>
      <c r="G4" s="9" t="s">
        <v>24</v>
      </c>
    </row>
    <row r="5" spans="1:7" ht="12.75">
      <c r="A5" s="2" t="s">
        <v>6</v>
      </c>
      <c r="B5" s="2">
        <v>60</v>
      </c>
      <c r="C5" s="5">
        <f>B5/100</f>
        <v>0.6</v>
      </c>
      <c r="E5" s="2" t="s">
        <v>35</v>
      </c>
      <c r="F5" s="2">
        <v>-500</v>
      </c>
      <c r="G5" s="9" t="s">
        <v>30</v>
      </c>
    </row>
    <row r="6" spans="1:7" ht="12.75">
      <c r="A6" s="2" t="s">
        <v>8</v>
      </c>
      <c r="B6" s="2">
        <v>4</v>
      </c>
      <c r="C6" s="5">
        <f>B6/100</f>
        <v>0.04</v>
      </c>
      <c r="D6" s="2"/>
      <c r="E6" s="2"/>
      <c r="F6" s="2"/>
      <c r="G6" s="2"/>
    </row>
    <row r="7" spans="1:6" ht="12.75">
      <c r="A7" s="2" t="s">
        <v>13</v>
      </c>
      <c r="B7" s="2">
        <f>B5-B6</f>
        <v>56</v>
      </c>
      <c r="C7" s="5">
        <f>B7/100</f>
        <v>0.56</v>
      </c>
      <c r="E7" s="2" t="s">
        <v>100</v>
      </c>
      <c r="F7" s="2">
        <f>F4/F5</f>
        <v>-0.08</v>
      </c>
    </row>
    <row r="8" spans="1:6" ht="12.75">
      <c r="A8" s="2" t="s">
        <v>10</v>
      </c>
      <c r="B8" s="2">
        <v>10</v>
      </c>
      <c r="C8" s="6">
        <f>B8/10000</f>
        <v>0.001</v>
      </c>
      <c r="E8" s="2" t="s">
        <v>104</v>
      </c>
      <c r="F8" s="2">
        <f>F7-(C5/2-C16)</f>
        <v>-0.0876</v>
      </c>
    </row>
    <row r="9" spans="1:7" ht="12.75">
      <c r="A9" s="2" t="s">
        <v>12</v>
      </c>
      <c r="B9" s="2">
        <v>6</v>
      </c>
      <c r="C9" s="6">
        <f>B9/10000</f>
        <v>0.0006</v>
      </c>
      <c r="D9" s="2"/>
      <c r="E9" s="2"/>
      <c r="F9" s="2"/>
      <c r="G9" s="2"/>
    </row>
    <row r="10" spans="1:7" ht="12.75">
      <c r="A10" s="2" t="s">
        <v>21</v>
      </c>
      <c r="B10" s="2">
        <v>15</v>
      </c>
      <c r="C10" s="2"/>
      <c r="E10" s="2" t="s">
        <v>38</v>
      </c>
      <c r="F10" s="7">
        <f>F5*1000/B12/100</f>
        <v>-2.450980392156863</v>
      </c>
      <c r="G10" s="2"/>
    </row>
    <row r="11" spans="5:7" ht="12.75">
      <c r="E11" s="2" t="s">
        <v>40</v>
      </c>
      <c r="F11" s="10">
        <f>F5*F8*1000000/B19/10000</f>
        <v>0.0062477970096571425</v>
      </c>
      <c r="G11" s="2"/>
    </row>
    <row r="12" spans="1:7" ht="12.75">
      <c r="A12" s="2" t="s">
        <v>4</v>
      </c>
      <c r="B12" s="2">
        <f>B4*B5+B10*(B8+B9)</f>
        <v>2040</v>
      </c>
      <c r="C12" s="2">
        <f>B12/10000</f>
        <v>0.204</v>
      </c>
      <c r="D12" s="2"/>
      <c r="E12" s="2"/>
      <c r="F12" s="2"/>
      <c r="G12" s="2"/>
    </row>
    <row r="13" spans="1:7" ht="12.75">
      <c r="A13" s="2" t="s">
        <v>39</v>
      </c>
      <c r="B13" s="2">
        <f>B4*B5^2/2+B10*(B8*B7+B9*B6)</f>
        <v>62760</v>
      </c>
      <c r="C13" s="2">
        <f>B13/1000000</f>
        <v>0.06276</v>
      </c>
      <c r="E13" s="2" t="s">
        <v>41</v>
      </c>
      <c r="F13" s="5">
        <f>F10+F11*(-B15)*10</f>
        <v>-4.3728027523274005</v>
      </c>
      <c r="G13" s="2"/>
    </row>
    <row r="14" spans="1:7" ht="12.75">
      <c r="A14" s="2" t="s">
        <v>11</v>
      </c>
      <c r="B14" s="6">
        <f>B13/B12</f>
        <v>30.764705882352942</v>
      </c>
      <c r="C14" s="8">
        <f>C13/C12</f>
        <v>0.30764705882352944</v>
      </c>
      <c r="E14" s="2" t="s">
        <v>43</v>
      </c>
      <c r="F14" s="5">
        <f>F10+F11*B16*10</f>
        <v>-0.6241245465331147</v>
      </c>
      <c r="G14" s="2"/>
    </row>
    <row r="15" spans="1:7" ht="12.75">
      <c r="A15" s="2" t="s">
        <v>11</v>
      </c>
      <c r="B15" s="5">
        <f>ROUND(B14,2)</f>
        <v>30.76</v>
      </c>
      <c r="C15" s="2">
        <f>B15/100</f>
        <v>0.30760000000000004</v>
      </c>
      <c r="E15" s="2" t="s">
        <v>45</v>
      </c>
      <c r="F15" s="3">
        <f>B10*(F10+F11*(B16-B6)*10)</f>
        <v>-13.110546403791005</v>
      </c>
      <c r="G15" s="2"/>
    </row>
    <row r="16" spans="1:7" ht="12.75">
      <c r="A16" s="2" t="s">
        <v>9</v>
      </c>
      <c r="B16" s="2">
        <f>B5-B15</f>
        <v>29.24</v>
      </c>
      <c r="C16" s="6">
        <f>B16/100</f>
        <v>0.2924</v>
      </c>
      <c r="E16" s="2" t="s">
        <v>46</v>
      </c>
      <c r="F16" s="3">
        <f>B10*(F10+F11*(-B15+B6)*10)</f>
        <v>-61.84336307911672</v>
      </c>
      <c r="G16" s="2"/>
    </row>
    <row r="17" spans="1:7" ht="12.75">
      <c r="A17" s="2" t="s">
        <v>42</v>
      </c>
      <c r="B17" s="3">
        <f>B4*B5*(B15-B5/2)^2+B4*B5^3/12</f>
        <v>541039.68</v>
      </c>
      <c r="C17" s="2"/>
      <c r="D17" s="2"/>
      <c r="E17" s="2"/>
      <c r="F17" s="2"/>
      <c r="G17" s="2"/>
    </row>
    <row r="18" spans="1:7" ht="12.75">
      <c r="A18" s="2" t="s">
        <v>44</v>
      </c>
      <c r="B18" s="3">
        <f>B10*(B8*(B16-B6)^2+B9*(B15-B6)^2)</f>
        <v>160007.424</v>
      </c>
      <c r="C18" s="2"/>
      <c r="D18" s="2"/>
      <c r="E18" s="2"/>
      <c r="F18" s="2"/>
      <c r="G18" s="2"/>
    </row>
    <row r="19" spans="1:7" ht="12.75">
      <c r="A19" s="2" t="s">
        <v>14</v>
      </c>
      <c r="B19" s="3">
        <f>B17+B18</f>
        <v>701047.104</v>
      </c>
      <c r="C19" s="16">
        <f>B19/100000000</f>
        <v>0.007010471040000001</v>
      </c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3" ht="12.75">
      <c r="A21" s="2" t="s">
        <v>47</v>
      </c>
      <c r="B21" s="5">
        <f>B19/B12/B16</f>
        <v>11.752754486199406</v>
      </c>
      <c r="C21" s="2"/>
    </row>
    <row r="22" spans="1:3" ht="12.75">
      <c r="A22" s="2" t="s">
        <v>48</v>
      </c>
      <c r="B22" s="5">
        <f>B19/B12/B15</f>
        <v>11.171994186491242</v>
      </c>
      <c r="C22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3" sqref="A3"/>
    </sheetView>
  </sheetViews>
  <sheetFormatPr defaultColWidth="9.140625" defaultRowHeight="12.75"/>
  <cols>
    <col min="1" max="3" width="9.140625" style="2" customWidth="1"/>
    <col min="4" max="4" width="9.00390625" style="2" customWidth="1"/>
    <col min="5" max="16384" width="9.140625" style="2" customWidth="1"/>
  </cols>
  <sheetData>
    <row r="1" ht="12.75">
      <c r="A1" s="1" t="s">
        <v>60</v>
      </c>
    </row>
    <row r="2" ht="12.75">
      <c r="A2" s="1" t="s">
        <v>61</v>
      </c>
    </row>
    <row r="4" spans="1:9" ht="12.75">
      <c r="A4" s="2" t="s">
        <v>2</v>
      </c>
      <c r="B4" s="2">
        <v>30</v>
      </c>
      <c r="C4" s="2">
        <f>B4/100</f>
        <v>0.3</v>
      </c>
      <c r="E4" s="2" t="s">
        <v>23</v>
      </c>
      <c r="F4" s="2">
        <v>180</v>
      </c>
      <c r="G4" s="9" t="s">
        <v>24</v>
      </c>
      <c r="H4" s="2" t="s">
        <v>33</v>
      </c>
      <c r="I4" s="2">
        <v>1</v>
      </c>
    </row>
    <row r="5" spans="1:9" ht="12.75">
      <c r="A5" s="2" t="s">
        <v>6</v>
      </c>
      <c r="B5" s="2">
        <v>60</v>
      </c>
      <c r="C5" s="2">
        <f>B5/100</f>
        <v>0.6</v>
      </c>
      <c r="E5" s="2" t="s">
        <v>35</v>
      </c>
      <c r="F5" s="2">
        <v>-450</v>
      </c>
      <c r="G5" s="9" t="s">
        <v>30</v>
      </c>
      <c r="H5" s="2" t="s">
        <v>32</v>
      </c>
      <c r="I5" s="2">
        <f>-3*F8</f>
        <v>0.3000000000000001</v>
      </c>
    </row>
    <row r="6" spans="1:9" ht="12.75">
      <c r="A6" s="2" t="s">
        <v>8</v>
      </c>
      <c r="B6" s="2">
        <v>4</v>
      </c>
      <c r="C6" s="2">
        <f>B6/100</f>
        <v>0.04</v>
      </c>
      <c r="H6" s="2" t="s">
        <v>31</v>
      </c>
      <c r="I6" s="2">
        <f>6*B10/C4*(C8*(C7-F8)+C9*(C6-F8))</f>
        <v>0.22320000000000004</v>
      </c>
    </row>
    <row r="7" spans="1:9" ht="12.75">
      <c r="A7" s="2" t="s">
        <v>13</v>
      </c>
      <c r="B7" s="2">
        <f>B5-B6</f>
        <v>56</v>
      </c>
      <c r="C7" s="2">
        <f>B7/100</f>
        <v>0.56</v>
      </c>
      <c r="E7" s="2" t="s">
        <v>100</v>
      </c>
      <c r="F7" s="5">
        <f>F4/F5</f>
        <v>-0.4</v>
      </c>
      <c r="H7" s="2" t="s">
        <v>56</v>
      </c>
      <c r="I7" s="2">
        <f>-6*B10/C4*(C8*C7*(C7-F8)+C9*C6*(C6-F8))</f>
        <v>-0.11188800000000003</v>
      </c>
    </row>
    <row r="8" spans="1:6" ht="12.75">
      <c r="A8" s="2" t="s">
        <v>10</v>
      </c>
      <c r="B8" s="2">
        <v>10</v>
      </c>
      <c r="C8" s="2">
        <f>B8/10000</f>
        <v>0.001</v>
      </c>
      <c r="E8" s="2" t="s">
        <v>55</v>
      </c>
      <c r="F8" s="5">
        <f>F7+C5/2</f>
        <v>-0.10000000000000003</v>
      </c>
    </row>
    <row r="9" spans="1:3" ht="12.75">
      <c r="A9" s="2" t="s">
        <v>12</v>
      </c>
      <c r="B9" s="2">
        <v>6</v>
      </c>
      <c r="C9" s="2">
        <f>B9/10000</f>
        <v>0.0006</v>
      </c>
    </row>
    <row r="10" spans="1:2" ht="12.75">
      <c r="A10" s="2" t="s">
        <v>21</v>
      </c>
      <c r="B10" s="2">
        <v>15</v>
      </c>
    </row>
    <row r="12" spans="1:10" ht="12.75">
      <c r="A12" s="2">
        <f>A14^3</f>
        <v>0</v>
      </c>
      <c r="B12" s="2">
        <f>$I4*A12</f>
        <v>0</v>
      </c>
      <c r="C12" s="2">
        <f>C14^3</f>
        <v>0.216</v>
      </c>
      <c r="D12" s="2">
        <f>$I4*C12</f>
        <v>0.216</v>
      </c>
      <c r="E12" s="2">
        <f>E14^3</f>
        <v>0.027</v>
      </c>
      <c r="F12" s="2">
        <f>$I4*E12</f>
        <v>0.027</v>
      </c>
      <c r="G12" s="2">
        <f>G14^3</f>
        <v>0.021952000000000006</v>
      </c>
      <c r="H12" s="2">
        <f>$I4*G12</f>
        <v>0.021952000000000006</v>
      </c>
      <c r="I12" s="2">
        <f>I14^3</f>
        <v>0.023442767928</v>
      </c>
      <c r="J12" s="2">
        <f>$I4*I12</f>
        <v>0.023442767928</v>
      </c>
    </row>
    <row r="13" spans="1:10" ht="12.75">
      <c r="A13" s="2">
        <f>A14^2</f>
        <v>0</v>
      </c>
      <c r="B13" s="2">
        <f>$I5*A13</f>
        <v>0</v>
      </c>
      <c r="C13" s="2">
        <f>C14^2</f>
        <v>0.36</v>
      </c>
      <c r="D13" s="2">
        <f>$I5*C13</f>
        <v>0.10800000000000003</v>
      </c>
      <c r="E13" s="2">
        <f>E14^2</f>
        <v>0.09</v>
      </c>
      <c r="F13" s="2">
        <f>$I5*E13</f>
        <v>0.027000000000000007</v>
      </c>
      <c r="G13" s="2">
        <f>G14^2</f>
        <v>0.07840000000000001</v>
      </c>
      <c r="H13" s="2">
        <f>$I5*G13</f>
        <v>0.02352000000000001</v>
      </c>
      <c r="I13" s="2">
        <f>I14^2</f>
        <v>0.08191044</v>
      </c>
      <c r="J13" s="2">
        <f>$I5*I13</f>
        <v>0.024573132000000008</v>
      </c>
    </row>
    <row r="14" spans="1:10" ht="12.75">
      <c r="A14" s="11">
        <v>0</v>
      </c>
      <c r="B14" s="2">
        <f>$I6*A14</f>
        <v>0</v>
      </c>
      <c r="C14" s="11">
        <v>0.6</v>
      </c>
      <c r="D14" s="2">
        <f>$I6*C14</f>
        <v>0.13392</v>
      </c>
      <c r="E14" s="11">
        <v>0.3</v>
      </c>
      <c r="F14" s="2">
        <f>$I6*E14</f>
        <v>0.06696</v>
      </c>
      <c r="G14" s="11">
        <v>0.28</v>
      </c>
      <c r="H14" s="2">
        <f>$I6*G14</f>
        <v>0.06249600000000002</v>
      </c>
      <c r="I14" s="11">
        <v>0.2862</v>
      </c>
      <c r="J14" s="2">
        <f>$I6*I14</f>
        <v>0.06387984000000001</v>
      </c>
    </row>
    <row r="15" spans="2:10" ht="12.75">
      <c r="B15" s="12">
        <f>$I7</f>
        <v>-0.11188800000000003</v>
      </c>
      <c r="D15" s="12">
        <f>$I7</f>
        <v>-0.11188800000000003</v>
      </c>
      <c r="F15" s="12">
        <f>$I7</f>
        <v>-0.11188800000000003</v>
      </c>
      <c r="H15" s="12">
        <f>$I7</f>
        <v>-0.11188800000000003</v>
      </c>
      <c r="J15" s="12">
        <f>$I7</f>
        <v>-0.11188800000000003</v>
      </c>
    </row>
    <row r="16" spans="2:10" ht="12.75">
      <c r="B16" s="8">
        <f>SUM(B12:B15)</f>
        <v>-0.11188800000000003</v>
      </c>
      <c r="D16" s="8">
        <f>SUM(D12:D15)</f>
        <v>0.34603199999999995</v>
      </c>
      <c r="F16" s="8">
        <f>SUM(F12:F15)</f>
        <v>0.009071999999999983</v>
      </c>
      <c r="H16" s="8">
        <f>SUM(H12:H15)</f>
        <v>-0.003919999999999993</v>
      </c>
      <c r="J16" s="8">
        <f>SUM(J12:J15)</f>
        <v>7.739927999989016E-06</v>
      </c>
    </row>
    <row r="18" spans="1:5" ht="12.75">
      <c r="A18" s="2" t="s">
        <v>29</v>
      </c>
      <c r="B18" s="16">
        <f>-C4*I14^2/2-B10*C9*(I14-C6)+B10*C8*(C7-I14)</f>
        <v>-0.010395366</v>
      </c>
      <c r="D18" s="2" t="s">
        <v>57</v>
      </c>
      <c r="E18" s="5">
        <f>B19*(-I14)*1000</f>
        <v>-12.389174176262769</v>
      </c>
    </row>
    <row r="19" spans="1:5" ht="12.75">
      <c r="A19" s="2" t="s">
        <v>58</v>
      </c>
      <c r="B19" s="8">
        <f>F5*1000/B18/1000000000</f>
        <v>0.043288519134391225</v>
      </c>
      <c r="D19" s="2" t="s">
        <v>59</v>
      </c>
      <c r="E19" s="3">
        <f>B10*B19*(C7-I14)*1000</f>
        <v>177.78594808494478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3" sqref="A3"/>
    </sheetView>
  </sheetViews>
  <sheetFormatPr defaultColWidth="9.140625" defaultRowHeight="12.75"/>
  <cols>
    <col min="1" max="3" width="9.140625" style="2" customWidth="1"/>
    <col min="4" max="4" width="9.00390625" style="2" customWidth="1"/>
    <col min="5" max="16384" width="9.140625" style="2" customWidth="1"/>
  </cols>
  <sheetData>
    <row r="1" ht="12.75">
      <c r="A1" s="1" t="s">
        <v>28</v>
      </c>
    </row>
    <row r="2" ht="12.75">
      <c r="A2" s="1" t="s">
        <v>62</v>
      </c>
    </row>
    <row r="3" ht="12.75">
      <c r="H3" s="13" t="s">
        <v>63</v>
      </c>
    </row>
    <row r="4" spans="1:11" ht="12.75">
      <c r="A4" s="2" t="s">
        <v>2</v>
      </c>
      <c r="B4" s="2">
        <v>30</v>
      </c>
      <c r="C4" s="2">
        <f>B4/100</f>
        <v>0.3</v>
      </c>
      <c r="E4" s="2" t="s">
        <v>23</v>
      </c>
      <c r="F4" s="2">
        <v>-180</v>
      </c>
      <c r="G4" s="2" t="s">
        <v>23</v>
      </c>
      <c r="H4" s="13">
        <f>-F4</f>
        <v>180</v>
      </c>
      <c r="I4" s="9" t="s">
        <v>24</v>
      </c>
      <c r="J4" s="2" t="s">
        <v>33</v>
      </c>
      <c r="K4" s="2">
        <v>1</v>
      </c>
    </row>
    <row r="5" spans="1:11" ht="12.75">
      <c r="A5" s="2" t="s">
        <v>6</v>
      </c>
      <c r="B5" s="2">
        <v>60</v>
      </c>
      <c r="C5" s="2">
        <f>B5/100</f>
        <v>0.6</v>
      </c>
      <c r="E5" s="2" t="s">
        <v>35</v>
      </c>
      <c r="F5" s="2">
        <v>-450</v>
      </c>
      <c r="G5" s="2" t="s">
        <v>35</v>
      </c>
      <c r="H5" s="2">
        <f>F5</f>
        <v>-450</v>
      </c>
      <c r="I5" s="9" t="s">
        <v>30</v>
      </c>
      <c r="J5" s="2" t="s">
        <v>32</v>
      </c>
      <c r="K5" s="2">
        <f>-3*H8</f>
        <v>0.3000000000000001</v>
      </c>
    </row>
    <row r="6" spans="1:11" ht="12.75">
      <c r="A6" s="2" t="s">
        <v>8</v>
      </c>
      <c r="B6" s="2">
        <v>4</v>
      </c>
      <c r="C6" s="2">
        <f>B6/100</f>
        <v>0.04</v>
      </c>
      <c r="J6" s="2" t="s">
        <v>31</v>
      </c>
      <c r="K6" s="2">
        <f>6*B8/C4*(I9*(C7-H8)+I10*(C6-H8))</f>
        <v>0.1608</v>
      </c>
    </row>
    <row r="7" spans="1:11" ht="12.75">
      <c r="A7" s="2" t="s">
        <v>13</v>
      </c>
      <c r="B7" s="2">
        <f>B5-B6</f>
        <v>56</v>
      </c>
      <c r="C7" s="2">
        <f>B7/100</f>
        <v>0.56</v>
      </c>
      <c r="E7" s="2" t="s">
        <v>100</v>
      </c>
      <c r="F7" s="5">
        <f>F4/F5</f>
        <v>0.4</v>
      </c>
      <c r="G7" s="2" t="s">
        <v>100</v>
      </c>
      <c r="H7" s="5">
        <f>H4/H5</f>
        <v>-0.4</v>
      </c>
      <c r="J7" s="2" t="s">
        <v>56</v>
      </c>
      <c r="K7" s="2">
        <f>-6*B8/C4*(I9*C7*(C7-H8)+I10*C6*(C6-H8))</f>
        <v>-0.06820800000000002</v>
      </c>
    </row>
    <row r="8" spans="1:8" ht="12.75">
      <c r="A8" s="2" t="s">
        <v>21</v>
      </c>
      <c r="B8" s="2">
        <v>15</v>
      </c>
      <c r="F8" s="5"/>
      <c r="G8" s="2" t="s">
        <v>55</v>
      </c>
      <c r="H8" s="5">
        <f>H7+C5/2</f>
        <v>-0.10000000000000003</v>
      </c>
    </row>
    <row r="9" spans="1:9" ht="12.75">
      <c r="A9" s="2" t="s">
        <v>10</v>
      </c>
      <c r="B9" s="2">
        <v>10</v>
      </c>
      <c r="C9" s="2">
        <f>B9/10000</f>
        <v>0.001</v>
      </c>
      <c r="G9" s="2" t="s">
        <v>10</v>
      </c>
      <c r="H9" s="13">
        <f>B10</f>
        <v>6</v>
      </c>
      <c r="I9" s="2">
        <f>H9/10000</f>
        <v>0.0006</v>
      </c>
    </row>
    <row r="10" spans="1:9" ht="12.75">
      <c r="A10" s="2" t="s">
        <v>12</v>
      </c>
      <c r="B10" s="2">
        <v>6</v>
      </c>
      <c r="C10" s="2">
        <f>B10/10000</f>
        <v>0.0006</v>
      </c>
      <c r="G10" s="2" t="s">
        <v>12</v>
      </c>
      <c r="H10" s="13">
        <f>B9</f>
        <v>10</v>
      </c>
      <c r="I10" s="2">
        <f>H10/10000</f>
        <v>0.001</v>
      </c>
    </row>
    <row r="14" spans="1:10" ht="12.75">
      <c r="A14" s="2">
        <f>A16^3</f>
        <v>0</v>
      </c>
      <c r="B14" s="2">
        <f>$K4*A14</f>
        <v>0</v>
      </c>
      <c r="C14" s="2">
        <f>C16^3</f>
        <v>0.216</v>
      </c>
      <c r="D14" s="2">
        <f>$K4*C14</f>
        <v>0.216</v>
      </c>
      <c r="E14" s="2">
        <f>E16^3</f>
        <v>0.027</v>
      </c>
      <c r="F14" s="2">
        <f>$K4*E14</f>
        <v>0.027</v>
      </c>
      <c r="G14" s="2">
        <f>G16^3</f>
        <v>0.008000000000000002</v>
      </c>
      <c r="H14" s="2">
        <f>$K4*G14</f>
        <v>0.008000000000000002</v>
      </c>
      <c r="I14" s="2">
        <f>I16^3</f>
        <v>0.013286792944125</v>
      </c>
      <c r="J14" s="2">
        <f>$K4*I14</f>
        <v>0.013286792944125</v>
      </c>
    </row>
    <row r="15" spans="1:10" ht="12.75">
      <c r="A15" s="2">
        <f>A16^2</f>
        <v>0</v>
      </c>
      <c r="B15" s="2">
        <f>$K5*A15</f>
        <v>0</v>
      </c>
      <c r="C15" s="2">
        <f>C16^2</f>
        <v>0.36</v>
      </c>
      <c r="D15" s="2">
        <f>$K5*C15</f>
        <v>0.10800000000000003</v>
      </c>
      <c r="E15" s="2">
        <f>E16^2</f>
        <v>0.09</v>
      </c>
      <c r="F15" s="2">
        <f>$K5*E15</f>
        <v>0.027000000000000007</v>
      </c>
      <c r="G15" s="2">
        <f>G16^2</f>
        <v>0.04000000000000001</v>
      </c>
      <c r="H15" s="2">
        <f>$K5*G15</f>
        <v>0.012000000000000007</v>
      </c>
      <c r="I15" s="2">
        <f>I16^2</f>
        <v>0.0560979225</v>
      </c>
      <c r="J15" s="2">
        <f>$K5*I15</f>
        <v>0.016829376750000007</v>
      </c>
    </row>
    <row r="16" spans="1:10" ht="12.75">
      <c r="A16" s="11">
        <v>0</v>
      </c>
      <c r="B16" s="2">
        <f>$K6*A16</f>
        <v>0</v>
      </c>
      <c r="C16" s="11">
        <v>0.6</v>
      </c>
      <c r="D16" s="2">
        <f>$K6*C16</f>
        <v>0.09648</v>
      </c>
      <c r="E16" s="11">
        <v>0.3</v>
      </c>
      <c r="F16" s="2">
        <f>$K6*E16</f>
        <v>0.04824</v>
      </c>
      <c r="G16" s="11">
        <v>0.2</v>
      </c>
      <c r="H16" s="2">
        <f>$K6*G16</f>
        <v>0.03216</v>
      </c>
      <c r="I16" s="11">
        <v>0.23685</v>
      </c>
      <c r="J16" s="2">
        <f>$K6*I16</f>
        <v>0.03808548</v>
      </c>
    </row>
    <row r="17" spans="2:10" ht="12.75">
      <c r="B17" s="12">
        <f>$K7</f>
        <v>-0.06820800000000002</v>
      </c>
      <c r="D17" s="12">
        <f>$K7</f>
        <v>-0.06820800000000002</v>
      </c>
      <c r="F17" s="12">
        <f>$K7</f>
        <v>-0.06820800000000002</v>
      </c>
      <c r="H17" s="12">
        <f>$K7</f>
        <v>-0.06820800000000002</v>
      </c>
      <c r="J17" s="12">
        <f>$K7</f>
        <v>-0.06820800000000002</v>
      </c>
    </row>
    <row r="18" spans="2:10" ht="12.75">
      <c r="B18" s="8">
        <f>SUM(B14:B17)</f>
        <v>-0.06820800000000002</v>
      </c>
      <c r="D18" s="8">
        <f>SUM(D14:D17)</f>
        <v>0.35227200000000003</v>
      </c>
      <c r="F18" s="8">
        <f>SUM(F14:F17)</f>
        <v>0.03403199999999998</v>
      </c>
      <c r="H18" s="8">
        <f>SUM(H14:H17)</f>
        <v>-0.016048000000000007</v>
      </c>
      <c r="J18" s="8">
        <f>SUM(J14:J17)</f>
        <v>-6.3503058750080665E-06</v>
      </c>
    </row>
    <row r="20" spans="1:5" ht="12.75">
      <c r="A20" s="2" t="s">
        <v>29</v>
      </c>
      <c r="B20" s="2">
        <f>-C4*I16^2/2-B8*I10*(I16-C6)+B8*I9*(C7-I16)</f>
        <v>-0.008459088375</v>
      </c>
      <c r="D20" s="2" t="s">
        <v>57</v>
      </c>
      <c r="E20" s="5">
        <f>B21*(-I16)*1000</f>
        <v>-12.599761969031327</v>
      </c>
    </row>
    <row r="21" spans="1:5" ht="12.75">
      <c r="A21" s="2" t="s">
        <v>58</v>
      </c>
      <c r="B21" s="8">
        <f>H5*1000/B20/1000000000</f>
        <v>0.05319722173962983</v>
      </c>
      <c r="D21" s="2" t="s">
        <v>59</v>
      </c>
      <c r="E21" s="3">
        <f>B8*B21*(C7-I16)*1000</f>
        <v>257.86023307742073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3" sqref="A3"/>
    </sheetView>
  </sheetViews>
  <sheetFormatPr defaultColWidth="9.140625" defaultRowHeight="12.75"/>
  <cols>
    <col min="3" max="3" width="9.57421875" style="0" bestFit="1" customWidth="1"/>
    <col min="6" max="6" width="9.57421875" style="0" bestFit="1" customWidth="1"/>
  </cols>
  <sheetData>
    <row r="1" ht="12.75">
      <c r="A1" s="1" t="s">
        <v>64</v>
      </c>
    </row>
    <row r="2" ht="12.75">
      <c r="A2" s="1" t="s">
        <v>65</v>
      </c>
    </row>
    <row r="4" spans="2:11" ht="12.75">
      <c r="B4" s="2" t="s">
        <v>51</v>
      </c>
      <c r="C4" s="2" t="s">
        <v>52</v>
      </c>
      <c r="D4" s="2"/>
      <c r="E4" s="2" t="s">
        <v>23</v>
      </c>
      <c r="F4" s="2">
        <v>40</v>
      </c>
      <c r="G4" s="9" t="s">
        <v>24</v>
      </c>
      <c r="I4" s="2" t="s">
        <v>23</v>
      </c>
      <c r="J4" s="2">
        <v>160</v>
      </c>
      <c r="K4" s="9" t="s">
        <v>24</v>
      </c>
    </row>
    <row r="5" spans="1:11" ht="12.75">
      <c r="A5" s="2" t="s">
        <v>2</v>
      </c>
      <c r="B5" s="2">
        <v>30</v>
      </c>
      <c r="C5" s="5">
        <f>B5/100</f>
        <v>0.3</v>
      </c>
      <c r="D5" s="2"/>
      <c r="E5" s="2" t="s">
        <v>35</v>
      </c>
      <c r="F5" s="2">
        <v>400</v>
      </c>
      <c r="G5" s="9" t="s">
        <v>30</v>
      </c>
      <c r="I5" s="2" t="s">
        <v>35</v>
      </c>
      <c r="J5" s="2">
        <v>400</v>
      </c>
      <c r="K5" s="9" t="s">
        <v>30</v>
      </c>
    </row>
    <row r="6" spans="1:11" ht="12.75">
      <c r="A6" s="2" t="s">
        <v>6</v>
      </c>
      <c r="B6" s="2">
        <v>130</v>
      </c>
      <c r="C6" s="5">
        <f>B6/100</f>
        <v>1.3</v>
      </c>
      <c r="D6" s="2"/>
      <c r="E6" s="2"/>
      <c r="F6" s="2"/>
      <c r="G6" s="2"/>
      <c r="I6" s="2"/>
      <c r="J6" s="2"/>
      <c r="K6" s="2"/>
    </row>
    <row r="7" spans="1:11" ht="12.75">
      <c r="A7" s="2" t="s">
        <v>8</v>
      </c>
      <c r="B7" s="2">
        <v>4</v>
      </c>
      <c r="C7" s="2">
        <f>B7/100</f>
        <v>0.04</v>
      </c>
      <c r="E7" s="2" t="s">
        <v>100</v>
      </c>
      <c r="F7" s="5">
        <f>F4/F5</f>
        <v>0.1</v>
      </c>
      <c r="G7" s="2">
        <f>F7*100</f>
        <v>10</v>
      </c>
      <c r="I7" s="2" t="s">
        <v>36</v>
      </c>
      <c r="J7" s="5">
        <f>J4/J5</f>
        <v>0.4</v>
      </c>
      <c r="K7" s="2">
        <f>J7*100</f>
        <v>40</v>
      </c>
    </row>
    <row r="8" spans="1:11" ht="12.75">
      <c r="A8" s="2" t="s">
        <v>13</v>
      </c>
      <c r="B8" s="2">
        <f>B6-B7</f>
        <v>126</v>
      </c>
      <c r="C8" s="2">
        <f>B8/100</f>
        <v>1.26</v>
      </c>
      <c r="E8" s="2" t="s">
        <v>101</v>
      </c>
      <c r="F8" s="5">
        <f>F7-($C6/2-$C$14)</f>
        <v>0.0999999999999999</v>
      </c>
      <c r="G8" s="2">
        <f>F8*100</f>
        <v>9.99999999999999</v>
      </c>
      <c r="I8" s="2" t="s">
        <v>37</v>
      </c>
      <c r="J8" s="5">
        <f>J7-($C6/2-$C$14)</f>
        <v>0.3999999999999999</v>
      </c>
      <c r="K8" s="2">
        <f>J8*100</f>
        <v>39.99999999999999</v>
      </c>
    </row>
    <row r="9" spans="1:11" ht="12.75">
      <c r="A9" s="2" t="s">
        <v>10</v>
      </c>
      <c r="B9" s="2">
        <v>10</v>
      </c>
      <c r="C9" s="6">
        <f>B9/10000</f>
        <v>0.001</v>
      </c>
      <c r="D9" s="2"/>
      <c r="E9" s="2"/>
      <c r="F9" s="2"/>
      <c r="G9" s="2"/>
      <c r="I9" s="2"/>
      <c r="J9" s="2"/>
      <c r="K9" s="2"/>
    </row>
    <row r="10" spans="1:11" ht="12.75">
      <c r="A10" s="2" t="s">
        <v>12</v>
      </c>
      <c r="B10" s="2">
        <v>10</v>
      </c>
      <c r="C10" s="6">
        <f>B10/10000</f>
        <v>0.001</v>
      </c>
      <c r="E10" s="2" t="s">
        <v>38</v>
      </c>
      <c r="F10" s="3">
        <f>F5*1000/$B12/100</f>
        <v>200</v>
      </c>
      <c r="G10" s="2"/>
      <c r="I10" s="2" t="s">
        <v>38</v>
      </c>
      <c r="J10" s="3">
        <f>J5*1000/$B12/100</f>
        <v>200</v>
      </c>
      <c r="K10" s="2"/>
    </row>
    <row r="11" spans="1:11" ht="12.75">
      <c r="A11" s="2"/>
      <c r="B11" s="2"/>
      <c r="C11" s="2"/>
      <c r="E11" s="2" t="s">
        <v>40</v>
      </c>
      <c r="F11" s="8">
        <f>F5*F8*1000000/$C16/1000000000000</f>
        <v>0.05374899220639607</v>
      </c>
      <c r="G11" s="2"/>
      <c r="I11" s="2" t="s">
        <v>40</v>
      </c>
      <c r="J11" s="8">
        <f>J5*J8*1000000/$C16/1000000000000</f>
        <v>0.21499596882558447</v>
      </c>
      <c r="K11" s="2"/>
    </row>
    <row r="12" spans="1:11" ht="12.75">
      <c r="A12" s="2" t="s">
        <v>4</v>
      </c>
      <c r="B12" s="2">
        <f>B9+B10</f>
        <v>20</v>
      </c>
      <c r="C12" s="2">
        <f>B12/10000</f>
        <v>0.002</v>
      </c>
      <c r="E12" s="2"/>
      <c r="F12" s="2"/>
      <c r="G12" s="2"/>
      <c r="I12" s="2"/>
      <c r="J12" s="2"/>
      <c r="K12" s="2"/>
    </row>
    <row r="13" spans="1:11" ht="12.75">
      <c r="A13" s="2" t="s">
        <v>39</v>
      </c>
      <c r="B13" s="2">
        <f>B9*B8+B10*B7</f>
        <v>1300</v>
      </c>
      <c r="C13" s="2">
        <f>B13/1000000</f>
        <v>0.0013</v>
      </c>
      <c r="G13" s="2"/>
      <c r="K13" s="2"/>
    </row>
    <row r="14" spans="1:11" ht="12.75">
      <c r="A14" s="2" t="s">
        <v>11</v>
      </c>
      <c r="B14" s="3">
        <f>B13/B12</f>
        <v>65</v>
      </c>
      <c r="C14" s="6">
        <f>C13/C12</f>
        <v>0.6499999999999999</v>
      </c>
      <c r="E14" s="15" t="s">
        <v>102</v>
      </c>
      <c r="F14" s="3">
        <f>F10+F11*($B14-$B$7)*10</f>
        <v>232.7868852459016</v>
      </c>
      <c r="G14" s="9" t="s">
        <v>17</v>
      </c>
      <c r="I14" s="15" t="s">
        <v>102</v>
      </c>
      <c r="J14" s="3">
        <f>J10+J11*($B14-$B$7)*10</f>
        <v>331.1475409836065</v>
      </c>
      <c r="K14" s="9" t="s">
        <v>17</v>
      </c>
    </row>
    <row r="15" spans="1:11" ht="12.75">
      <c r="A15" s="2"/>
      <c r="B15" s="2"/>
      <c r="C15" s="2"/>
      <c r="E15" s="15" t="s">
        <v>103</v>
      </c>
      <c r="F15" s="3">
        <f>F10+F11*(-$B14+$B7)*10</f>
        <v>167.2131147540984</v>
      </c>
      <c r="G15" s="9" t="s">
        <v>17</v>
      </c>
      <c r="I15" s="15" t="s">
        <v>103</v>
      </c>
      <c r="J15" s="3">
        <f>J10+J11*(-$B14+$B7)*10</f>
        <v>68.85245901639348</v>
      </c>
      <c r="K15" s="9" t="s">
        <v>17</v>
      </c>
    </row>
    <row r="16" spans="1:7" ht="12.75">
      <c r="A16" s="2" t="s">
        <v>14</v>
      </c>
      <c r="B16" s="4">
        <f>B9*(B8-B14)^2+B10*(B14-B7)^2</f>
        <v>74420</v>
      </c>
      <c r="C16" s="10">
        <f>B16/100000000</f>
        <v>0.0007442</v>
      </c>
      <c r="F16" s="5"/>
      <c r="G16" s="2"/>
    </row>
    <row r="17" spans="3:7" ht="12.75">
      <c r="C17" s="2"/>
      <c r="D17" s="2"/>
      <c r="E17" s="2"/>
      <c r="F17" s="2"/>
      <c r="G17" s="2"/>
    </row>
    <row r="18" spans="1:7" ht="12.75">
      <c r="A18" s="2" t="s">
        <v>47</v>
      </c>
      <c r="B18" s="5">
        <f>B16/B12/B14</f>
        <v>57.246153846153845</v>
      </c>
      <c r="C18" s="6">
        <f>B18/100</f>
        <v>0.5724615384615385</v>
      </c>
      <c r="D18" s="2"/>
      <c r="E18" s="2"/>
      <c r="F18" s="2"/>
      <c r="G18" s="2"/>
    </row>
    <row r="19" spans="1:7" ht="12.75">
      <c r="A19" s="2" t="s">
        <v>48</v>
      </c>
      <c r="B19" s="5">
        <f>B16/B12/(B6-B14)</f>
        <v>57.246153846153845</v>
      </c>
      <c r="C19" s="6">
        <f>B19/100</f>
        <v>0.5724615384615385</v>
      </c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3" sqref="A3"/>
    </sheetView>
  </sheetViews>
  <sheetFormatPr defaultColWidth="9.140625" defaultRowHeight="12.75"/>
  <cols>
    <col min="1" max="3" width="9.140625" style="2" customWidth="1"/>
    <col min="4" max="4" width="9.00390625" style="2" customWidth="1"/>
    <col min="5" max="16384" width="9.140625" style="2" customWidth="1"/>
  </cols>
  <sheetData>
    <row r="1" ht="12.75">
      <c r="A1" s="1" t="s">
        <v>66</v>
      </c>
    </row>
    <row r="2" ht="12.75">
      <c r="A2" s="1" t="s">
        <v>67</v>
      </c>
    </row>
    <row r="4" spans="1:9" ht="12.75">
      <c r="A4" s="2" t="s">
        <v>2</v>
      </c>
      <c r="B4" s="2">
        <v>30</v>
      </c>
      <c r="C4" s="2">
        <f>B4/100</f>
        <v>0.3</v>
      </c>
      <c r="E4" s="2" t="s">
        <v>23</v>
      </c>
      <c r="F4" s="2">
        <v>400</v>
      </c>
      <c r="G4" s="9" t="s">
        <v>24</v>
      </c>
      <c r="H4" s="2" t="s">
        <v>33</v>
      </c>
      <c r="I4" s="2">
        <v>1</v>
      </c>
    </row>
    <row r="5" spans="1:9" ht="12.75">
      <c r="A5" s="2" t="s">
        <v>6</v>
      </c>
      <c r="B5" s="2">
        <v>130</v>
      </c>
      <c r="C5" s="2">
        <f>B5/100</f>
        <v>1.3</v>
      </c>
      <c r="E5" s="2" t="s">
        <v>35</v>
      </c>
      <c r="F5" s="2">
        <v>400</v>
      </c>
      <c r="G5" s="9" t="s">
        <v>30</v>
      </c>
      <c r="H5" s="2" t="s">
        <v>32</v>
      </c>
      <c r="I5" s="2">
        <f>-3*F8</f>
        <v>-4.949999999999999</v>
      </c>
    </row>
    <row r="6" spans="1:9" ht="12.75">
      <c r="A6" s="2" t="s">
        <v>8</v>
      </c>
      <c r="B6" s="2">
        <v>4</v>
      </c>
      <c r="C6" s="2">
        <f>B6/100</f>
        <v>0.04</v>
      </c>
      <c r="H6" s="2" t="s">
        <v>31</v>
      </c>
      <c r="I6" s="2">
        <f>6*B10/C4*(C8*(C7-F8)+C9*(C6-F8))</f>
        <v>-0.5999999999999999</v>
      </c>
    </row>
    <row r="7" spans="1:9" ht="12.75">
      <c r="A7" s="2" t="s">
        <v>13</v>
      </c>
      <c r="B7" s="2">
        <f>B5-B6</f>
        <v>126</v>
      </c>
      <c r="C7" s="2">
        <f>B7/100</f>
        <v>1.26</v>
      </c>
      <c r="E7" s="2" t="s">
        <v>100</v>
      </c>
      <c r="F7" s="5">
        <f>F4/F5</f>
        <v>1</v>
      </c>
      <c r="H7" s="2" t="s">
        <v>56</v>
      </c>
      <c r="I7" s="2">
        <f>-6*B10/C4*(C8*C7*(C7-F8)+C9*C6*(C6-F8))</f>
        <v>0.16674</v>
      </c>
    </row>
    <row r="8" spans="1:6" ht="12.75">
      <c r="A8" s="2" t="s">
        <v>10</v>
      </c>
      <c r="B8" s="2">
        <v>10</v>
      </c>
      <c r="C8" s="2">
        <f>B8/10000</f>
        <v>0.001</v>
      </c>
      <c r="E8" s="2" t="s">
        <v>55</v>
      </c>
      <c r="F8" s="5">
        <f>F7+C5/2</f>
        <v>1.65</v>
      </c>
    </row>
    <row r="9" spans="1:3" ht="12.75">
      <c r="A9" s="2" t="s">
        <v>12</v>
      </c>
      <c r="B9" s="2">
        <v>10</v>
      </c>
      <c r="C9" s="2">
        <f>B9/10000</f>
        <v>0.001</v>
      </c>
    </row>
    <row r="10" spans="1:2" ht="12.75">
      <c r="A10" s="2" t="s">
        <v>21</v>
      </c>
      <c r="B10" s="2">
        <v>15</v>
      </c>
    </row>
    <row r="12" spans="1:10" ht="12.75">
      <c r="A12" s="2">
        <f>A14^3</f>
        <v>0</v>
      </c>
      <c r="B12" s="2">
        <f>$I4*A12</f>
        <v>0</v>
      </c>
      <c r="C12" s="2">
        <f>C14^3</f>
        <v>2.1970000000000005</v>
      </c>
      <c r="D12" s="2">
        <f>$I4*C12</f>
        <v>2.1970000000000005</v>
      </c>
      <c r="E12" s="2">
        <f>E14^3</f>
        <v>0.027</v>
      </c>
      <c r="F12" s="2">
        <f>$I4*E12</f>
        <v>0.027</v>
      </c>
      <c r="G12" s="2">
        <f>G14^3</f>
        <v>0.008000000000000002</v>
      </c>
      <c r="H12" s="2">
        <f>$I4*G12</f>
        <v>0.008000000000000002</v>
      </c>
      <c r="I12" s="2">
        <f>I14^3</f>
        <v>0.0024020661608281247</v>
      </c>
      <c r="J12" s="2">
        <f>$I4*I12</f>
        <v>0.0024020661608281247</v>
      </c>
    </row>
    <row r="13" spans="1:10" ht="12.75">
      <c r="A13" s="2">
        <f>A14^2</f>
        <v>0</v>
      </c>
      <c r="B13" s="2">
        <f>$I5*A13</f>
        <v>0</v>
      </c>
      <c r="C13" s="2">
        <f>C14^2</f>
        <v>1.6900000000000002</v>
      </c>
      <c r="D13" s="2">
        <f>$I5*C13</f>
        <v>-8.365499999999999</v>
      </c>
      <c r="E13" s="2">
        <f>E14^2</f>
        <v>0.09</v>
      </c>
      <c r="F13" s="2">
        <f>$I5*E13</f>
        <v>-0.4454999999999999</v>
      </c>
      <c r="G13" s="2">
        <f>G14^2</f>
        <v>0.04000000000000001</v>
      </c>
      <c r="H13" s="2">
        <f>$I5*G13</f>
        <v>-0.198</v>
      </c>
      <c r="I13" s="2">
        <f>I14^2</f>
        <v>0.017935905624999998</v>
      </c>
      <c r="J13" s="2">
        <f>$I5*I13</f>
        <v>-0.08878273284374998</v>
      </c>
    </row>
    <row r="14" spans="1:10" ht="12.75">
      <c r="A14" s="11">
        <v>0</v>
      </c>
      <c r="B14" s="2">
        <f>$I6*A14</f>
        <v>0</v>
      </c>
      <c r="C14" s="11">
        <v>1.3</v>
      </c>
      <c r="D14" s="2">
        <f>$I6*C14</f>
        <v>-0.7799999999999998</v>
      </c>
      <c r="E14" s="11">
        <v>0.3</v>
      </c>
      <c r="F14" s="2">
        <f>$I6*E14</f>
        <v>-0.17999999999999997</v>
      </c>
      <c r="G14" s="11">
        <v>0.2</v>
      </c>
      <c r="H14" s="2">
        <f>$I6*G14</f>
        <v>-0.11999999999999998</v>
      </c>
      <c r="I14" s="11">
        <v>0.133925</v>
      </c>
      <c r="J14" s="2">
        <f>$I6*I14</f>
        <v>-0.08035499999999998</v>
      </c>
    </row>
    <row r="15" spans="2:10" ht="12.75">
      <c r="B15" s="12">
        <f>$I7</f>
        <v>0.16674</v>
      </c>
      <c r="D15" s="12">
        <f>$I7</f>
        <v>0.16674</v>
      </c>
      <c r="F15" s="12">
        <f>$I7</f>
        <v>0.16674</v>
      </c>
      <c r="H15" s="12">
        <f>$I7</f>
        <v>0.16674</v>
      </c>
      <c r="J15" s="12">
        <f>$I7</f>
        <v>0.16674</v>
      </c>
    </row>
    <row r="16" spans="2:10" ht="12.75">
      <c r="B16" s="8">
        <f>SUM(B12:B15)</f>
        <v>0.16674</v>
      </c>
      <c r="D16" s="8">
        <f>SUM(D12:D15)</f>
        <v>-6.781759999999998</v>
      </c>
      <c r="F16" s="8">
        <f>SUM(F12:F15)</f>
        <v>-0.4317599999999998</v>
      </c>
      <c r="H16" s="8">
        <f>SUM(H12:H15)</f>
        <v>-0.14326</v>
      </c>
      <c r="J16" s="8">
        <f>SUM(J12:J15)</f>
        <v>4.333317078164534E-06</v>
      </c>
    </row>
    <row r="18" spans="1:5" ht="12.75">
      <c r="A18" s="2" t="s">
        <v>29</v>
      </c>
      <c r="B18" s="16">
        <f>-C4*I14^2/2-B10*C9*(I14-C6)+B10*C8*(C7-I14)</f>
        <v>0.01279186415625</v>
      </c>
      <c r="D18" s="2" t="s">
        <v>57</v>
      </c>
      <c r="E18" s="5">
        <f>B19*(-I14)*1000</f>
        <v>-4.187818080746748</v>
      </c>
    </row>
    <row r="19" spans="1:5" ht="12.75">
      <c r="A19" s="2" t="s">
        <v>58</v>
      </c>
      <c r="B19" s="8">
        <f>F5*1000/B18/1000000000</f>
        <v>0.031269875532923264</v>
      </c>
      <c r="D19" s="2" t="s">
        <v>59</v>
      </c>
      <c r="E19" s="3">
        <f>B10*B19*(C7-I14)*1000</f>
        <v>528.1833763610484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3" sqref="A3"/>
    </sheetView>
  </sheetViews>
  <sheetFormatPr defaultColWidth="9.140625" defaultRowHeight="12.75"/>
  <cols>
    <col min="6" max="6" width="9.57421875" style="0" bestFit="1" customWidth="1"/>
  </cols>
  <sheetData>
    <row r="1" ht="12.75">
      <c r="A1" s="1" t="s">
        <v>68</v>
      </c>
    </row>
    <row r="2" ht="12.75">
      <c r="A2" s="1" t="s">
        <v>69</v>
      </c>
    </row>
    <row r="4" spans="1:7" ht="12.75">
      <c r="A4" s="2" t="s">
        <v>2</v>
      </c>
      <c r="B4" s="2">
        <v>30</v>
      </c>
      <c r="C4" s="5">
        <f>B4/100</f>
        <v>0.3</v>
      </c>
      <c r="E4" s="2" t="s">
        <v>23</v>
      </c>
      <c r="F4" s="2">
        <v>200</v>
      </c>
      <c r="G4" s="9" t="s">
        <v>24</v>
      </c>
    </row>
    <row r="5" spans="1:7" ht="12.75">
      <c r="A5" s="2" t="s">
        <v>6</v>
      </c>
      <c r="B5" s="2">
        <v>130</v>
      </c>
      <c r="C5" s="5">
        <f>B5/100</f>
        <v>1.3</v>
      </c>
      <c r="E5" s="2" t="s">
        <v>35</v>
      </c>
      <c r="F5" s="2">
        <v>-2000</v>
      </c>
      <c r="G5" s="9" t="s">
        <v>30</v>
      </c>
    </row>
    <row r="6" spans="1:7" ht="12.75">
      <c r="A6" s="2" t="s">
        <v>8</v>
      </c>
      <c r="B6" s="2">
        <v>4</v>
      </c>
      <c r="C6" s="5">
        <f>B6/100</f>
        <v>0.04</v>
      </c>
      <c r="D6" s="2"/>
      <c r="E6" s="2"/>
      <c r="F6" s="2"/>
      <c r="G6" s="2"/>
    </row>
    <row r="7" spans="1:6" ht="12.75">
      <c r="A7" s="2" t="s">
        <v>13</v>
      </c>
      <c r="B7" s="2">
        <f>B5-B6</f>
        <v>126</v>
      </c>
      <c r="C7" s="5">
        <f>B7/100</f>
        <v>1.26</v>
      </c>
      <c r="E7" s="2" t="s">
        <v>100</v>
      </c>
      <c r="F7" s="5">
        <f>F4/F5</f>
        <v>-0.1</v>
      </c>
    </row>
    <row r="8" spans="1:6" ht="12.75">
      <c r="A8" s="2" t="s">
        <v>10</v>
      </c>
      <c r="B8" s="2">
        <v>10</v>
      </c>
      <c r="C8" s="6">
        <f>B8/10000</f>
        <v>0.001</v>
      </c>
      <c r="E8" s="2" t="s">
        <v>104</v>
      </c>
      <c r="F8" s="5">
        <f>F7-(C5/2-C14)</f>
        <v>-0.1</v>
      </c>
    </row>
    <row r="9" spans="1:7" ht="12.75">
      <c r="A9" s="2" t="s">
        <v>12</v>
      </c>
      <c r="B9" s="2">
        <v>10</v>
      </c>
      <c r="C9" s="6">
        <f>B9/10000</f>
        <v>0.001</v>
      </c>
      <c r="D9" s="2"/>
      <c r="E9" s="2"/>
      <c r="F9" s="2"/>
      <c r="G9" s="2"/>
    </row>
    <row r="10" spans="1:7" ht="12.75">
      <c r="A10" s="2" t="s">
        <v>21</v>
      </c>
      <c r="B10" s="2">
        <v>15</v>
      </c>
      <c r="C10" s="2"/>
      <c r="E10" s="2" t="s">
        <v>38</v>
      </c>
      <c r="F10" s="7">
        <f>F5*1000/B12/100</f>
        <v>-2.7777777777777777</v>
      </c>
      <c r="G10" s="2"/>
    </row>
    <row r="11" spans="5:7" ht="12.75">
      <c r="E11" s="2" t="s">
        <v>40</v>
      </c>
      <c r="F11" s="10">
        <f>F5*F8*1000000/B17/10000</f>
        <v>0.0029266294009189613</v>
      </c>
      <c r="G11" s="2"/>
    </row>
    <row r="12" spans="1:7" ht="12.75">
      <c r="A12" s="2" t="s">
        <v>4</v>
      </c>
      <c r="B12" s="2">
        <f>B4*B5+B4*(B5-B4)+B10*(B8+B9)</f>
        <v>7200</v>
      </c>
      <c r="C12" s="2">
        <f>B12/10000</f>
        <v>0.72</v>
      </c>
      <c r="D12" s="2"/>
      <c r="E12" s="2"/>
      <c r="F12" s="2"/>
      <c r="G12" s="2"/>
    </row>
    <row r="13" spans="1:7" ht="12.75">
      <c r="A13" s="2" t="s">
        <v>39</v>
      </c>
      <c r="B13" s="2">
        <f>B4*B5^2/2+(B5-B4)*B4*B5/2+B10*(B8*B7+B9*B6)</f>
        <v>468000</v>
      </c>
      <c r="C13" s="2">
        <f>B13/1000000</f>
        <v>0.468</v>
      </c>
      <c r="E13" s="2" t="s">
        <v>41</v>
      </c>
      <c r="F13" s="5">
        <f>F10+F11*(-B14)*10</f>
        <v>-4.680086888375103</v>
      </c>
      <c r="G13" s="2"/>
    </row>
    <row r="14" spans="1:7" ht="12.75">
      <c r="A14" s="2" t="s">
        <v>11</v>
      </c>
      <c r="B14" s="2">
        <f>B13/B12</f>
        <v>65</v>
      </c>
      <c r="C14" s="2">
        <f>B14/100</f>
        <v>0.65</v>
      </c>
      <c r="E14" s="2" t="s">
        <v>43</v>
      </c>
      <c r="F14" s="5">
        <f>F10+F11*(B14)*10</f>
        <v>-0.875468667180453</v>
      </c>
      <c r="G14" s="2"/>
    </row>
    <row r="15" spans="1:7" ht="12.75">
      <c r="A15" s="2" t="s">
        <v>42</v>
      </c>
      <c r="B15" s="4">
        <f>B12*(B14-B5/2)^2+B4*B5^3/12+(B5-B4)*B4^3/12</f>
        <v>5717500</v>
      </c>
      <c r="C15" s="2"/>
      <c r="E15" s="2" t="s">
        <v>45</v>
      </c>
      <c r="F15" s="3">
        <f>B10*(F10+F11*(B14-B6)*10)</f>
        <v>-14.888007648258169</v>
      </c>
      <c r="G15" s="2"/>
    </row>
    <row r="16" spans="1:7" ht="12.75">
      <c r="A16" s="2" t="s">
        <v>44</v>
      </c>
      <c r="B16" s="4">
        <f>B10*(B8*(B7-B14)^2+B9*(B14-B6)^2)</f>
        <v>1116300</v>
      </c>
      <c r="C16" s="2"/>
      <c r="E16" s="2" t="s">
        <v>46</v>
      </c>
      <c r="F16" s="3">
        <f>B10*(F10+F11*(-B14+B6)*10)</f>
        <v>-68.44532568507516</v>
      </c>
      <c r="G16" s="2"/>
    </row>
    <row r="17" spans="1:7" ht="12.75">
      <c r="A17" s="2" t="s">
        <v>14</v>
      </c>
      <c r="B17" s="4">
        <f>B15+B16</f>
        <v>6833800</v>
      </c>
      <c r="C17" s="2">
        <f>B17/100000000</f>
        <v>0.068338</v>
      </c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 t="s">
        <v>47</v>
      </c>
      <c r="B19" s="5">
        <f>B17/B12/B14</f>
        <v>14.602136752136753</v>
      </c>
      <c r="C19" s="2"/>
      <c r="D19" s="2"/>
      <c r="E19" s="2"/>
      <c r="F19" s="2"/>
      <c r="G19" s="2"/>
    </row>
    <row r="20" spans="1:7" ht="12.75">
      <c r="A20" s="2" t="s">
        <v>48</v>
      </c>
      <c r="B20" s="5">
        <f>B17/B12/(B5-B14)</f>
        <v>14.602136752136753</v>
      </c>
      <c r="C20" s="2"/>
      <c r="D20" s="2"/>
      <c r="E20" s="2"/>
      <c r="F20" s="2"/>
      <c r="G2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Capitolo 10 - esempi</dc:title>
  <dc:subject/>
  <dc:creator>Aurelio Ghersi</dc:creator>
  <cp:keywords/>
  <dc:description/>
  <cp:lastModifiedBy>Aurelio Ghersi</cp:lastModifiedBy>
  <dcterms:created xsi:type="dcterms:W3CDTF">2002-02-16T12:18:26Z</dcterms:created>
  <dcterms:modified xsi:type="dcterms:W3CDTF">2005-02-07T11:08:55Z</dcterms:modified>
  <cp:category/>
  <cp:version/>
  <cp:contentType/>
  <cp:contentStatus/>
</cp:coreProperties>
</file>