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piegazioni" sheetId="1" r:id="rId1"/>
    <sheet name="Es 1" sheetId="2" r:id="rId2"/>
    <sheet name="Es 2" sheetId="3" r:id="rId3"/>
    <sheet name="Es 3" sheetId="4" r:id="rId4"/>
    <sheet name="Es 4" sheetId="5" r:id="rId5"/>
    <sheet name="Es 5" sheetId="6" r:id="rId6"/>
    <sheet name="Es 6" sheetId="7" r:id="rId7"/>
    <sheet name="Es 7" sheetId="8" r:id="rId8"/>
    <sheet name="Es 8" sheetId="9" r:id="rId9"/>
    <sheet name="Es 9" sheetId="10" r:id="rId10"/>
    <sheet name="Es 10" sheetId="11" r:id="rId11"/>
    <sheet name="Es 11" sheetId="12" r:id="rId12"/>
    <sheet name="Es 12" sheetId="13" r:id="rId13"/>
    <sheet name="Es 13" sheetId="14" r:id="rId14"/>
    <sheet name="Es 14" sheetId="15" r:id="rId15"/>
    <sheet name="Par.8" sheetId="16" r:id="rId16"/>
  </sheets>
  <definedNames/>
  <calcPr fullCalcOnLoad="1"/>
</workbook>
</file>

<file path=xl/sharedStrings.xml><?xml version="1.0" encoding="utf-8"?>
<sst xmlns="http://schemas.openxmlformats.org/spreadsheetml/2006/main" count="536" uniqueCount="108">
  <si>
    <t>Questo foglio di lavoro è stato utilizzato per risolvere tutti gli esempi proposti</t>
  </si>
  <si>
    <t>Sezione rettangolare nel primo stadio</t>
  </si>
  <si>
    <t>b</t>
  </si>
  <si>
    <t>cm</t>
  </si>
  <si>
    <t>A</t>
  </si>
  <si>
    <t>cm2</t>
  </si>
  <si>
    <t>h</t>
  </si>
  <si>
    <t>Ssup</t>
  </si>
  <si>
    <t>cm3</t>
  </si>
  <si>
    <t>c</t>
  </si>
  <si>
    <t>dGsup</t>
  </si>
  <si>
    <t>As</t>
  </si>
  <si>
    <t>dGinf</t>
  </si>
  <si>
    <t>A's</t>
  </si>
  <si>
    <t>d</t>
  </si>
  <si>
    <t>I</t>
  </si>
  <si>
    <t>cm4</t>
  </si>
  <si>
    <t>Es</t>
  </si>
  <si>
    <t>MPa</t>
  </si>
  <si>
    <t>Ec</t>
  </si>
  <si>
    <t>n</t>
  </si>
  <si>
    <t>kN</t>
  </si>
  <si>
    <t>V</t>
  </si>
  <si>
    <r>
      <t>S</t>
    </r>
    <r>
      <rPr>
        <sz val="8"/>
        <rFont val="Arial"/>
        <family val="2"/>
      </rPr>
      <t>G</t>
    </r>
  </si>
  <si>
    <r>
      <t>t</t>
    </r>
    <r>
      <rPr>
        <sz val="8"/>
        <rFont val="Arial"/>
        <family val="2"/>
      </rPr>
      <t>max</t>
    </r>
  </si>
  <si>
    <t>Esempio 1</t>
  </si>
  <si>
    <t>Esempio 2</t>
  </si>
  <si>
    <t>Sezione rettangolare nel secondo stadio (con n=15)</t>
  </si>
  <si>
    <t>x</t>
  </si>
  <si>
    <t>da esempio 4, cap.9</t>
  </si>
  <si>
    <t>appross.</t>
  </si>
  <si>
    <t>Esempio 3</t>
  </si>
  <si>
    <t>Rck</t>
  </si>
  <si>
    <r>
      <t>t</t>
    </r>
    <r>
      <rPr>
        <sz val="10"/>
        <rFont val="Arial"/>
        <family val="0"/>
      </rPr>
      <t>c0</t>
    </r>
  </si>
  <si>
    <r>
      <t>t</t>
    </r>
    <r>
      <rPr>
        <sz val="10"/>
        <rFont val="Arial"/>
        <family val="0"/>
      </rPr>
      <t>c1</t>
    </r>
  </si>
  <si>
    <t>Vc0</t>
  </si>
  <si>
    <t>Vc1</t>
  </si>
  <si>
    <t>Trave emergente (taglio corrispondente ai limiti di normativa)</t>
  </si>
  <si>
    <t>Esempio 4</t>
  </si>
  <si>
    <t>Trave a spessore (taglio corrispondente ai limiti di normativa)</t>
  </si>
  <si>
    <t>Esempio 5</t>
  </si>
  <si>
    <t>Trave emergente (progetto delle staffe)</t>
  </si>
  <si>
    <r>
      <t>t</t>
    </r>
    <r>
      <rPr>
        <sz val="10"/>
        <rFont val="Arial"/>
        <family val="0"/>
      </rPr>
      <t>max</t>
    </r>
  </si>
  <si>
    <t>Ast/s</t>
  </si>
  <si>
    <t>FeB44k</t>
  </si>
  <si>
    <r>
      <t>s</t>
    </r>
    <r>
      <rPr>
        <sz val="10"/>
        <rFont val="Arial"/>
        <family val="0"/>
      </rPr>
      <t xml:space="preserve"> am</t>
    </r>
  </si>
  <si>
    <t>cm2/m</t>
  </si>
  <si>
    <t>Esempio 6</t>
  </si>
  <si>
    <t>Trave emergente (resistenza delle staffe)</t>
  </si>
  <si>
    <r>
      <t>Æ</t>
    </r>
    <r>
      <rPr>
        <sz val="10"/>
        <rFont val="Arial"/>
        <family val="0"/>
      </rPr>
      <t>8/</t>
    </r>
  </si>
  <si>
    <t>Esempio 7</t>
  </si>
  <si>
    <t>Trave a spessore (progetto delle staffe)</t>
  </si>
  <si>
    <t>sagomati</t>
  </si>
  <si>
    <t>Æ</t>
  </si>
  <si>
    <t>Asag</t>
  </si>
  <si>
    <t>Vsag</t>
  </si>
  <si>
    <r>
      <t>D</t>
    </r>
    <r>
      <rPr>
        <sz val="10"/>
        <rFont val="Arial"/>
        <family val="0"/>
      </rPr>
      <t>V</t>
    </r>
  </si>
  <si>
    <t>Trave emergente (SLU, valore di Rd1)</t>
  </si>
  <si>
    <t>Esempio 8</t>
  </si>
  <si>
    <t>Asl</t>
  </si>
  <si>
    <r>
      <t>r</t>
    </r>
    <r>
      <rPr>
        <sz val="10"/>
        <rFont val="Arial"/>
        <family val="0"/>
      </rPr>
      <t>l</t>
    </r>
  </si>
  <si>
    <t>effetto spinotto</t>
  </si>
  <si>
    <t>ingranamento inerti</t>
  </si>
  <si>
    <t>fctd</t>
  </si>
  <si>
    <t>fctk</t>
  </si>
  <si>
    <r>
      <t>t</t>
    </r>
    <r>
      <rPr>
        <sz val="10"/>
        <rFont val="Arial"/>
        <family val="0"/>
      </rPr>
      <t>Rd</t>
    </r>
  </si>
  <si>
    <t>VRd1</t>
  </si>
  <si>
    <t>Solaio (SLU, valore di Rd1)</t>
  </si>
  <si>
    <t>Esempio 10</t>
  </si>
  <si>
    <t>Trave emergente (resistenza delle staffe, metodo normale)</t>
  </si>
  <si>
    <t>fck</t>
  </si>
  <si>
    <t>fcd</t>
  </si>
  <si>
    <t>fyd</t>
  </si>
  <si>
    <t>VRd2</t>
  </si>
  <si>
    <t>Vcd</t>
  </si>
  <si>
    <t>Vwd</t>
  </si>
  <si>
    <t>VRd3</t>
  </si>
  <si>
    <t>Trave emergente (resistenza delle staffe, metodo inclinazione variabile del traliccio)</t>
  </si>
  <si>
    <t>Esempio 11</t>
  </si>
  <si>
    <r>
      <t xml:space="preserve">cot </t>
    </r>
    <r>
      <rPr>
        <sz val="10"/>
        <rFont val="Symbol"/>
        <family val="1"/>
      </rPr>
      <t>q</t>
    </r>
  </si>
  <si>
    <t>Esempio 12</t>
  </si>
  <si>
    <t>Trave a spessore (resistenza delle staffe, metodo inclinazione variabile del traliccio)</t>
  </si>
  <si>
    <t>Trave emergente (verifica, metodo inclinazione variabile del traliccio)</t>
  </si>
  <si>
    <t>z</t>
  </si>
  <si>
    <t>VSd</t>
  </si>
  <si>
    <t>Esempio 13</t>
  </si>
  <si>
    <t>Esempio 14</t>
  </si>
  <si>
    <t>Trave emergente (progetto armatura, metodo inclinazione variabile del traliccio)</t>
  </si>
  <si>
    <t>nel capitolo relativo al taglio (versione 2005)</t>
  </si>
  <si>
    <t>Confronto riportato nel paragrafo 8</t>
  </si>
  <si>
    <r>
      <t>g</t>
    </r>
    <r>
      <rPr>
        <sz val="10"/>
        <rFont val="Arial"/>
        <family val="0"/>
      </rPr>
      <t>c</t>
    </r>
  </si>
  <si>
    <t>k</t>
  </si>
  <si>
    <r>
      <t>1.2+40</t>
    </r>
    <r>
      <rPr>
        <sz val="10"/>
        <rFont val="Symbol"/>
        <family val="1"/>
      </rPr>
      <t>r</t>
    </r>
    <r>
      <rPr>
        <sz val="10"/>
        <rFont val="Arial"/>
        <family val="0"/>
      </rPr>
      <t>l</t>
    </r>
  </si>
  <si>
    <r>
      <t>t</t>
    </r>
    <r>
      <rPr>
        <sz val="10"/>
        <rFont val="Arial"/>
        <family val="0"/>
      </rPr>
      <t>cd</t>
    </r>
  </si>
  <si>
    <t>1.45 Vc0</t>
  </si>
  <si>
    <r>
      <t>n</t>
    </r>
    <r>
      <rPr>
        <sz val="10"/>
        <rFont val="Arial"/>
        <family val="0"/>
      </rPr>
      <t xml:space="preserve"> fcd</t>
    </r>
  </si>
  <si>
    <t>1.45 Vc1</t>
  </si>
  <si>
    <t>staffe</t>
  </si>
  <si>
    <r>
      <t>Æ</t>
    </r>
    <r>
      <rPr>
        <sz val="10"/>
        <rFont val="Arial"/>
        <family val="2"/>
      </rPr>
      <t>8/10</t>
    </r>
  </si>
  <si>
    <r>
      <t>Æ</t>
    </r>
    <r>
      <rPr>
        <sz val="10"/>
        <rFont val="Arial"/>
        <family val="2"/>
      </rPr>
      <t>8/20</t>
    </r>
  </si>
  <si>
    <t>fyk</t>
  </si>
  <si>
    <r>
      <t>g</t>
    </r>
    <r>
      <rPr>
        <sz val="10"/>
        <rFont val="Arial"/>
        <family val="0"/>
      </rPr>
      <t>s</t>
    </r>
  </si>
  <si>
    <t>VRd3 (no)</t>
  </si>
  <si>
    <t>VRd3 (iv)</t>
  </si>
  <si>
    <t>Vmax</t>
  </si>
  <si>
    <r>
      <t>s</t>
    </r>
    <r>
      <rPr>
        <sz val="10"/>
        <rFont val="Arial"/>
        <family val="0"/>
      </rPr>
      <t>sam</t>
    </r>
  </si>
  <si>
    <r>
      <t>1.45 V</t>
    </r>
    <r>
      <rPr>
        <sz val="8"/>
        <rFont val="Arial"/>
        <family val="2"/>
      </rPr>
      <t>max</t>
    </r>
  </si>
  <si>
    <t>b d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</si>
</sst>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t="s">
        <v>0</v>
      </c>
    </row>
    <row r="3" ht="12.75">
      <c r="A3" t="s">
        <v>88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58</v>
      </c>
    </row>
    <row r="2" ht="12.75">
      <c r="A2" s="1" t="s">
        <v>67</v>
      </c>
    </row>
    <row r="5" spans="1:7" ht="12.75">
      <c r="A5" s="2" t="s">
        <v>2</v>
      </c>
      <c r="B5" s="2">
        <v>20</v>
      </c>
      <c r="C5" t="s">
        <v>3</v>
      </c>
      <c r="E5" s="2" t="s">
        <v>32</v>
      </c>
      <c r="F5" s="2">
        <v>25</v>
      </c>
      <c r="G5" t="s">
        <v>18</v>
      </c>
    </row>
    <row r="6" spans="1:6" ht="12.75">
      <c r="A6" s="2" t="s">
        <v>6</v>
      </c>
      <c r="B6" s="2">
        <v>24</v>
      </c>
      <c r="C6" t="s">
        <v>3</v>
      </c>
      <c r="E6" s="2"/>
      <c r="F6" s="2"/>
    </row>
    <row r="7" spans="1:7" ht="12.75">
      <c r="A7" s="2" t="s">
        <v>9</v>
      </c>
      <c r="B7" s="2">
        <v>2</v>
      </c>
      <c r="C7" t="s">
        <v>3</v>
      </c>
      <c r="E7" s="2" t="s">
        <v>64</v>
      </c>
      <c r="F7" s="7">
        <f>0.7*0.27*F5^(2/3)</f>
        <v>1.615927269609478</v>
      </c>
      <c r="G7" t="s">
        <v>18</v>
      </c>
    </row>
    <row r="8" spans="1:7" ht="12.75">
      <c r="A8" s="2" t="s">
        <v>14</v>
      </c>
      <c r="B8" s="2">
        <f>B6-B7</f>
        <v>22</v>
      </c>
      <c r="C8" t="s">
        <v>3</v>
      </c>
      <c r="E8" s="2" t="s">
        <v>63</v>
      </c>
      <c r="F8" s="5">
        <f>F7/1.6</f>
        <v>1.0099545435059236</v>
      </c>
      <c r="G8" t="s">
        <v>18</v>
      </c>
    </row>
    <row r="9" spans="1:7" ht="12.75">
      <c r="A9" s="2" t="s">
        <v>59</v>
      </c>
      <c r="B9" s="2">
        <f>2*(0.79+1.54)</f>
        <v>4.66</v>
      </c>
      <c r="C9" t="s">
        <v>5</v>
      </c>
      <c r="E9" s="6" t="s">
        <v>65</v>
      </c>
      <c r="F9" s="2">
        <f>ROUND(0.25*F8,2)</f>
        <v>0.25</v>
      </c>
      <c r="G9" t="s">
        <v>18</v>
      </c>
    </row>
    <row r="11" spans="1:6" ht="12.75">
      <c r="A11" s="6" t="s">
        <v>60</v>
      </c>
      <c r="B11" s="9">
        <f>B9/B5/B8</f>
        <v>0.010590909090909092</v>
      </c>
      <c r="E11" s="10" t="s">
        <v>61</v>
      </c>
      <c r="F11" s="7">
        <f>MIN(2,1.2+40*B11)</f>
        <v>1.6236363636363635</v>
      </c>
    </row>
    <row r="12" spans="5:6" ht="12.75">
      <c r="E12" s="10" t="s">
        <v>62</v>
      </c>
      <c r="F12" s="7">
        <f>MAX(1,1.6-B8/100)</f>
        <v>1.3800000000000001</v>
      </c>
    </row>
    <row r="14" spans="1:3" ht="12.75">
      <c r="A14" s="2" t="s">
        <v>66</v>
      </c>
      <c r="B14" s="3">
        <f>F9*F12*F11*B5*B8/10</f>
        <v>24.6468</v>
      </c>
      <c r="C14" t="s">
        <v>21</v>
      </c>
    </row>
    <row r="15" spans="1:2" ht="12.75">
      <c r="A15" s="2"/>
      <c r="B15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68</v>
      </c>
    </row>
    <row r="2" ht="12.75">
      <c r="A2" s="1" t="s">
        <v>69</v>
      </c>
    </row>
    <row r="5" spans="1:9" ht="12.75">
      <c r="A5" s="2" t="s">
        <v>2</v>
      </c>
      <c r="B5" s="2">
        <v>30</v>
      </c>
      <c r="C5" t="s">
        <v>3</v>
      </c>
      <c r="E5" s="2" t="s">
        <v>32</v>
      </c>
      <c r="F5" s="2">
        <v>25</v>
      </c>
      <c r="G5" t="s">
        <v>18</v>
      </c>
      <c r="I5" s="2" t="s">
        <v>44</v>
      </c>
    </row>
    <row r="6" spans="1:11" ht="12.75">
      <c r="A6" s="2" t="s">
        <v>6</v>
      </c>
      <c r="B6" s="2">
        <v>60</v>
      </c>
      <c r="C6" t="s">
        <v>3</v>
      </c>
      <c r="E6" s="2" t="s">
        <v>64</v>
      </c>
      <c r="F6" s="7">
        <f>0.7*0.27*F5^(2/3)</f>
        <v>1.615927269609478</v>
      </c>
      <c r="G6" t="s">
        <v>18</v>
      </c>
      <c r="I6" s="2" t="s">
        <v>72</v>
      </c>
      <c r="J6" s="3">
        <f>430/1.15</f>
        <v>373.9130434782609</v>
      </c>
      <c r="K6" s="8" t="s">
        <v>18</v>
      </c>
    </row>
    <row r="7" spans="1:7" ht="12.75">
      <c r="A7" s="2" t="s">
        <v>9</v>
      </c>
      <c r="B7" s="2">
        <v>4</v>
      </c>
      <c r="C7" t="s">
        <v>3</v>
      </c>
      <c r="E7" s="2" t="s">
        <v>70</v>
      </c>
      <c r="F7" s="2">
        <f>0.83*F5</f>
        <v>20.75</v>
      </c>
      <c r="G7" t="s">
        <v>18</v>
      </c>
    </row>
    <row r="8" spans="1:7" ht="12.75">
      <c r="A8" s="2" t="s">
        <v>14</v>
      </c>
      <c r="B8" s="2">
        <f>B6-B7</f>
        <v>56</v>
      </c>
      <c r="C8" t="s">
        <v>3</v>
      </c>
      <c r="E8" s="2" t="s">
        <v>71</v>
      </c>
      <c r="F8" s="5">
        <f>F7/1.6</f>
        <v>12.96875</v>
      </c>
      <c r="G8" t="s">
        <v>18</v>
      </c>
    </row>
    <row r="9" spans="1:7" ht="12.75">
      <c r="A9" s="2" t="s">
        <v>59</v>
      </c>
      <c r="B9" s="2">
        <f>4*1.54</f>
        <v>6.16</v>
      </c>
      <c r="C9" t="s">
        <v>5</v>
      </c>
      <c r="E9" s="6" t="s">
        <v>65</v>
      </c>
      <c r="F9" s="2">
        <f>ROUND(0.25*F6/1.6,2)</f>
        <v>0.25</v>
      </c>
      <c r="G9" t="s">
        <v>18</v>
      </c>
    </row>
    <row r="10" spans="5:6" ht="12.75">
      <c r="E10" s="6" t="s">
        <v>20</v>
      </c>
      <c r="F10" s="7">
        <f>0.7-F7/200</f>
        <v>0.59625</v>
      </c>
    </row>
    <row r="12" spans="1:6" ht="12.75">
      <c r="A12" s="6" t="s">
        <v>60</v>
      </c>
      <c r="B12" s="9">
        <f>B9/B5/B8</f>
        <v>0.0036666666666666666</v>
      </c>
      <c r="E12" s="10" t="s">
        <v>61</v>
      </c>
      <c r="F12" s="7">
        <f>MIN(2,1.2+40*B12)</f>
        <v>1.3466666666666667</v>
      </c>
    </row>
    <row r="13" spans="5:6" ht="12.75">
      <c r="E13" s="10" t="s">
        <v>62</v>
      </c>
      <c r="F13" s="7">
        <f>MAX(1,1.6-B8/100)</f>
        <v>1.04</v>
      </c>
    </row>
    <row r="14" spans="1:2" ht="12.75">
      <c r="A14" s="2" t="s">
        <v>20</v>
      </c>
      <c r="B14" s="2">
        <v>2</v>
      </c>
    </row>
    <row r="15" spans="1:11" ht="12.75">
      <c r="A15" s="6" t="s">
        <v>49</v>
      </c>
      <c r="B15" s="2">
        <v>10</v>
      </c>
      <c r="C15" t="s">
        <v>3</v>
      </c>
      <c r="E15" s="2" t="s">
        <v>43</v>
      </c>
      <c r="F15" s="5">
        <f>0.5*$B$14*100/B15</f>
        <v>10</v>
      </c>
      <c r="G15" t="s">
        <v>46</v>
      </c>
      <c r="I15" s="2" t="s">
        <v>75</v>
      </c>
      <c r="J15" s="3">
        <f>F15*0.9*$B$8*$J$6/1000</f>
        <v>188.45217391304348</v>
      </c>
      <c r="K15" t="s">
        <v>21</v>
      </c>
    </row>
    <row r="16" spans="1:11" ht="12.75">
      <c r="A16" s="6" t="s">
        <v>49</v>
      </c>
      <c r="B16" s="2">
        <v>15</v>
      </c>
      <c r="C16" t="s">
        <v>3</v>
      </c>
      <c r="E16" s="2" t="s">
        <v>43</v>
      </c>
      <c r="F16" s="5">
        <f>0.5*$B$14*100/B16</f>
        <v>6.666666666666667</v>
      </c>
      <c r="G16" t="s">
        <v>46</v>
      </c>
      <c r="I16" s="2" t="s">
        <v>75</v>
      </c>
      <c r="J16" s="3">
        <f>F16*0.9*$B$8*$J$6/1000</f>
        <v>125.63478260869564</v>
      </c>
      <c r="K16" t="s">
        <v>21</v>
      </c>
    </row>
    <row r="17" spans="1:11" ht="12.75">
      <c r="A17" s="6" t="s">
        <v>49</v>
      </c>
      <c r="B17" s="2">
        <v>20</v>
      </c>
      <c r="C17" t="s">
        <v>3</v>
      </c>
      <c r="E17" s="2" t="s">
        <v>43</v>
      </c>
      <c r="F17" s="5">
        <f>0.5*$B$14*100/B17</f>
        <v>5</v>
      </c>
      <c r="G17" t="s">
        <v>46</v>
      </c>
      <c r="I17" s="2" t="s">
        <v>75</v>
      </c>
      <c r="J17" s="3">
        <f>F17*0.9*$B$8*$J$6/1000</f>
        <v>94.22608695652174</v>
      </c>
      <c r="K17" t="s">
        <v>21</v>
      </c>
    </row>
    <row r="18" ht="12.75">
      <c r="A18" s="2"/>
    </row>
    <row r="19" spans="1:3" ht="12.75">
      <c r="A19" s="2" t="s">
        <v>73</v>
      </c>
      <c r="B19" s="3">
        <f>0.5*F10*F8*B5*0.9*B8/10</f>
        <v>584.5858593749999</v>
      </c>
      <c r="C19" t="s">
        <v>21</v>
      </c>
    </row>
    <row r="20" ht="12.75">
      <c r="A20" s="2"/>
    </row>
    <row r="21" spans="1:7" ht="12.75">
      <c r="A21" s="2" t="s">
        <v>74</v>
      </c>
      <c r="B21" s="3">
        <f>F9*F13*F12*B5*B8/10</f>
        <v>58.8224</v>
      </c>
      <c r="C21" t="s">
        <v>21</v>
      </c>
      <c r="E21" s="2" t="s">
        <v>76</v>
      </c>
      <c r="F21" s="3">
        <f>$B$21+J15</f>
        <v>247.27457391304347</v>
      </c>
      <c r="G21" t="s">
        <v>21</v>
      </c>
    </row>
    <row r="22" spans="6:7" ht="12.75">
      <c r="F22" s="3">
        <f>$B$21+J16</f>
        <v>184.45718260869563</v>
      </c>
      <c r="G22" t="s">
        <v>21</v>
      </c>
    </row>
    <row r="23" spans="6:7" ht="12.75">
      <c r="F23" s="3">
        <f>$B$21+J17</f>
        <v>153.04848695652174</v>
      </c>
      <c r="G23" t="s">
        <v>21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78</v>
      </c>
    </row>
    <row r="2" ht="12.75">
      <c r="A2" s="1" t="s">
        <v>82</v>
      </c>
    </row>
    <row r="5" spans="1:9" ht="12.75">
      <c r="A5" s="2" t="s">
        <v>2</v>
      </c>
      <c r="B5" s="2">
        <v>30</v>
      </c>
      <c r="C5" t="s">
        <v>3</v>
      </c>
      <c r="E5" s="2" t="s">
        <v>32</v>
      </c>
      <c r="F5" s="2">
        <v>25</v>
      </c>
      <c r="G5" t="s">
        <v>18</v>
      </c>
      <c r="I5" s="2" t="s">
        <v>44</v>
      </c>
    </row>
    <row r="6" spans="1:11" ht="12.75">
      <c r="A6" s="2" t="s">
        <v>6</v>
      </c>
      <c r="B6" s="2">
        <v>50</v>
      </c>
      <c r="C6" t="s">
        <v>3</v>
      </c>
      <c r="E6" s="2"/>
      <c r="F6" s="7"/>
      <c r="I6" s="2" t="s">
        <v>72</v>
      </c>
      <c r="J6" s="3">
        <f>430/1.15</f>
        <v>373.9130434782609</v>
      </c>
      <c r="K6" s="8" t="s">
        <v>18</v>
      </c>
    </row>
    <row r="7" spans="1:7" ht="12.75">
      <c r="A7" s="2" t="s">
        <v>9</v>
      </c>
      <c r="B7" s="2">
        <v>4</v>
      </c>
      <c r="C7" t="s">
        <v>3</v>
      </c>
      <c r="E7" s="2" t="s">
        <v>70</v>
      </c>
      <c r="F7" s="2">
        <f>0.83*F5</f>
        <v>20.75</v>
      </c>
      <c r="G7" t="s">
        <v>18</v>
      </c>
    </row>
    <row r="8" spans="1:7" ht="12.75">
      <c r="A8" s="2" t="s">
        <v>14</v>
      </c>
      <c r="B8" s="2">
        <f>B6-B7</f>
        <v>46</v>
      </c>
      <c r="C8" t="s">
        <v>3</v>
      </c>
      <c r="E8" s="2" t="s">
        <v>71</v>
      </c>
      <c r="F8" s="5">
        <f>F7/1.6</f>
        <v>12.96875</v>
      </c>
      <c r="G8" t="s">
        <v>18</v>
      </c>
    </row>
    <row r="9" spans="1:6" ht="12.75">
      <c r="A9" s="2" t="s">
        <v>83</v>
      </c>
      <c r="B9" s="2">
        <f>0.9*B8</f>
        <v>41.4</v>
      </c>
      <c r="C9" t="s">
        <v>3</v>
      </c>
      <c r="E9" s="6"/>
      <c r="F9" s="2"/>
    </row>
    <row r="10" spans="1:6" ht="12.75">
      <c r="A10" s="2" t="s">
        <v>84</v>
      </c>
      <c r="B10" s="2">
        <v>250</v>
      </c>
      <c r="C10" t="s">
        <v>21</v>
      </c>
      <c r="E10" s="6" t="s">
        <v>20</v>
      </c>
      <c r="F10" s="7">
        <f>0.7-F7/200</f>
        <v>0.59625</v>
      </c>
    </row>
    <row r="12" spans="1:7" ht="12.75">
      <c r="A12" s="11" t="s">
        <v>79</v>
      </c>
      <c r="B12" s="12">
        <v>2</v>
      </c>
      <c r="E12" s="2" t="s">
        <v>73</v>
      </c>
      <c r="F12" s="3">
        <f>F10*F8*B5*0.9*B8*B12/(1+B12^2)/10</f>
        <v>384.1564218749999</v>
      </c>
      <c r="G12" t="s">
        <v>21</v>
      </c>
    </row>
    <row r="13" spans="5:6" ht="12.75">
      <c r="E13" s="10"/>
      <c r="F13" s="7"/>
    </row>
    <row r="14" spans="1:2" ht="12.75">
      <c r="A14" s="2" t="s">
        <v>20</v>
      </c>
      <c r="B14" s="2">
        <v>2</v>
      </c>
    </row>
    <row r="15" spans="1:11" ht="12.75">
      <c r="A15" s="6" t="s">
        <v>49</v>
      </c>
      <c r="B15" s="2">
        <v>10</v>
      </c>
      <c r="C15" t="s">
        <v>3</v>
      </c>
      <c r="E15" s="2" t="s">
        <v>43</v>
      </c>
      <c r="F15" s="5">
        <f>0.5*$B$14*100/B15</f>
        <v>10</v>
      </c>
      <c r="G15" t="s">
        <v>46</v>
      </c>
      <c r="I15" s="2" t="s">
        <v>76</v>
      </c>
      <c r="J15" s="3">
        <f>F15*0.9*$B$8*$J$6*$B$12/1000</f>
        <v>309.6</v>
      </c>
      <c r="K15" t="s">
        <v>21</v>
      </c>
    </row>
    <row r="16" spans="1:10" s="14" customFormat="1" ht="12.75">
      <c r="A16" s="11"/>
      <c r="B16" s="11"/>
      <c r="E16" s="11"/>
      <c r="F16" s="15"/>
      <c r="I16" s="11"/>
      <c r="J16" s="16"/>
    </row>
    <row r="17" spans="2:10" s="14" customFormat="1" ht="12.75">
      <c r="B17" s="17" t="str">
        <f>IF(B10&lt;MIN(F12,J15),"sezione verificata",IF(J15&lt;B10,"sezione non verificata","variare teta"))</f>
        <v>sezione verificata</v>
      </c>
      <c r="E17" s="11"/>
      <c r="F17" s="15"/>
      <c r="I17" s="11"/>
      <c r="J17" s="16"/>
    </row>
    <row r="18" s="14" customFormat="1" ht="12.75">
      <c r="A18" s="11"/>
    </row>
    <row r="19" spans="1:11" s="14" customFormat="1" ht="12.75">
      <c r="A19" s="11" t="s">
        <v>79</v>
      </c>
      <c r="B19" s="7">
        <f>SQRT(F10*F8*B5/(F15/100*J6)-1)</f>
        <v>2.281244524523534</v>
      </c>
      <c r="C19"/>
      <c r="D19"/>
      <c r="E19" s="2" t="s">
        <v>73</v>
      </c>
      <c r="F19" s="3">
        <f>F10*F8*B5*0.9*B8*B19/(1+B19^2)/10</f>
        <v>353.13665239624305</v>
      </c>
      <c r="G19" t="s">
        <v>21</v>
      </c>
      <c r="H19"/>
      <c r="I19" s="2" t="s">
        <v>76</v>
      </c>
      <c r="J19" s="3">
        <f>F15*0.9*$B$8*$J$6*B19/1000</f>
        <v>353.13665239624305</v>
      </c>
      <c r="K19" t="s">
        <v>21</v>
      </c>
    </row>
    <row r="20" s="14" customFormat="1" ht="12.75">
      <c r="A20" s="11"/>
    </row>
    <row r="21" spans="1:6" s="14" customFormat="1" ht="12.75">
      <c r="A21" s="11"/>
      <c r="B21" s="17" t="str">
        <f>IF(B10&lt;J19,"sezione verificata","sezione non verificata")</f>
        <v>sezione verificata</v>
      </c>
      <c r="F21" s="16"/>
    </row>
    <row r="22" s="14" customFormat="1" ht="12.75">
      <c r="F22" s="16"/>
    </row>
    <row r="23" ht="12.75">
      <c r="F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80</v>
      </c>
    </row>
    <row r="2" ht="12.75">
      <c r="A2" s="1" t="s">
        <v>81</v>
      </c>
    </row>
    <row r="5" spans="1:9" ht="12.75">
      <c r="A5" s="2" t="s">
        <v>2</v>
      </c>
      <c r="B5" s="2">
        <v>60</v>
      </c>
      <c r="C5" t="s">
        <v>3</v>
      </c>
      <c r="E5" s="2" t="s">
        <v>32</v>
      </c>
      <c r="F5" s="2">
        <v>25</v>
      </c>
      <c r="G5" t="s">
        <v>18</v>
      </c>
      <c r="I5" s="2" t="s">
        <v>44</v>
      </c>
    </row>
    <row r="6" spans="1:11" ht="12.75">
      <c r="A6" s="2" t="s">
        <v>6</v>
      </c>
      <c r="B6" s="2">
        <v>24</v>
      </c>
      <c r="C6" t="s">
        <v>3</v>
      </c>
      <c r="E6" s="2"/>
      <c r="F6" s="7"/>
      <c r="I6" s="2" t="s">
        <v>72</v>
      </c>
      <c r="J6" s="3">
        <f>430/1.15</f>
        <v>373.9130434782609</v>
      </c>
      <c r="K6" s="8" t="s">
        <v>18</v>
      </c>
    </row>
    <row r="7" spans="1:7" ht="12.75">
      <c r="A7" s="2" t="s">
        <v>9</v>
      </c>
      <c r="B7" s="2">
        <v>4</v>
      </c>
      <c r="C7" t="s">
        <v>3</v>
      </c>
      <c r="E7" s="2" t="s">
        <v>70</v>
      </c>
      <c r="F7" s="2">
        <f>0.83*F5</f>
        <v>20.75</v>
      </c>
      <c r="G7" t="s">
        <v>18</v>
      </c>
    </row>
    <row r="8" spans="1:7" ht="12.75">
      <c r="A8" s="2" t="s">
        <v>14</v>
      </c>
      <c r="B8" s="2">
        <f>B6-B7</f>
        <v>20</v>
      </c>
      <c r="C8" t="s">
        <v>3</v>
      </c>
      <c r="E8" s="2" t="s">
        <v>71</v>
      </c>
      <c r="F8" s="5">
        <f>F7/1.6</f>
        <v>12.96875</v>
      </c>
      <c r="G8" t="s">
        <v>18</v>
      </c>
    </row>
    <row r="9" spans="1:6" ht="12.75">
      <c r="A9" s="2" t="s">
        <v>83</v>
      </c>
      <c r="B9" s="2">
        <f>0.9*B8</f>
        <v>18</v>
      </c>
      <c r="C9" t="s">
        <v>3</v>
      </c>
      <c r="E9" s="6"/>
      <c r="F9" s="2"/>
    </row>
    <row r="10" spans="1:6" ht="12.75">
      <c r="A10" s="2" t="s">
        <v>84</v>
      </c>
      <c r="B10" s="2">
        <v>350</v>
      </c>
      <c r="C10" t="s">
        <v>21</v>
      </c>
      <c r="E10" s="6" t="s">
        <v>20</v>
      </c>
      <c r="F10" s="7">
        <f>0.7-F7/200</f>
        <v>0.59625</v>
      </c>
    </row>
    <row r="12" spans="1:7" ht="12.75">
      <c r="A12" s="11" t="s">
        <v>79</v>
      </c>
      <c r="B12" s="12">
        <v>2</v>
      </c>
      <c r="E12" s="2" t="s">
        <v>73</v>
      </c>
      <c r="F12" s="3">
        <f>F10*F8*B5*0.9*B8*B12/(1+B12^2)/10</f>
        <v>334.04906249999993</v>
      </c>
      <c r="G12" t="s">
        <v>21</v>
      </c>
    </row>
    <row r="13" spans="5:6" ht="12.75">
      <c r="E13" s="10"/>
      <c r="F13" s="7"/>
    </row>
    <row r="14" spans="1:2" ht="12.75">
      <c r="A14" s="2" t="s">
        <v>20</v>
      </c>
      <c r="B14" s="2">
        <v>4</v>
      </c>
    </row>
    <row r="15" spans="1:11" ht="12.75">
      <c r="A15" s="6" t="s">
        <v>49</v>
      </c>
      <c r="B15" s="2">
        <v>7.5</v>
      </c>
      <c r="C15" t="s">
        <v>3</v>
      </c>
      <c r="E15" s="2" t="s">
        <v>43</v>
      </c>
      <c r="F15" s="5">
        <f>0.5*$B$14*100/B15</f>
        <v>26.666666666666668</v>
      </c>
      <c r="G15" t="s">
        <v>46</v>
      </c>
      <c r="I15" s="2" t="s">
        <v>76</v>
      </c>
      <c r="J15" s="3">
        <f>F15*0.9*$B$8*$J$6*$B$12/1000</f>
        <v>358.95652173913044</v>
      </c>
      <c r="K15" t="s">
        <v>21</v>
      </c>
    </row>
    <row r="16" spans="1:10" ht="12.75">
      <c r="A16" s="6"/>
      <c r="B16" s="2"/>
      <c r="E16" s="2"/>
      <c r="F16" s="5"/>
      <c r="I16" s="2"/>
      <c r="J16" s="3"/>
    </row>
    <row r="17" ht="12.75">
      <c r="B17" s="17" t="str">
        <f>IF(B10&lt;MIN(F12,J15),"sezione verificata",IF(J15&lt;B10,"sezione non verificata","variare teta"))</f>
        <v>variare teta</v>
      </c>
    </row>
    <row r="18" spans="1:2" ht="12.75">
      <c r="A18" s="13"/>
      <c r="B18" s="3"/>
    </row>
    <row r="19" spans="1:11" ht="12.75">
      <c r="A19" s="11" t="s">
        <v>79</v>
      </c>
      <c r="B19" s="7">
        <f>SQRT(F10*F8*B5/(F15/100*J6)-1)</f>
        <v>1.911297317400266</v>
      </c>
      <c r="E19" s="2" t="s">
        <v>73</v>
      </c>
      <c r="F19" s="3">
        <f>F10*F8*B5*0.9*B8*B19/(1+B19^2)/10</f>
        <v>343.036318531665</v>
      </c>
      <c r="G19" t="s">
        <v>21</v>
      </c>
      <c r="I19" s="2" t="s">
        <v>76</v>
      </c>
      <c r="J19" s="3">
        <f>F15*0.9*$B$8*$J$6*B19/1000</f>
        <v>343.03631853166513</v>
      </c>
      <c r="K19" t="s">
        <v>21</v>
      </c>
    </row>
    <row r="20" spans="1:2" ht="12.75">
      <c r="A20" s="11"/>
      <c r="B20" s="7"/>
    </row>
    <row r="21" spans="1:6" ht="12.75">
      <c r="A21" s="2"/>
      <c r="B21" s="17" t="str">
        <f>IF(B10&lt;J19,"sezione verificata","sezione non verificata")</f>
        <v>sezione non verificata</v>
      </c>
      <c r="F21" s="3"/>
    </row>
    <row r="22" ht="12.75">
      <c r="F22" s="3"/>
    </row>
    <row r="23" ht="12.75">
      <c r="F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85</v>
      </c>
    </row>
    <row r="2" ht="12.75">
      <c r="A2" s="1" t="s">
        <v>87</v>
      </c>
    </row>
    <row r="5" spans="1:9" ht="12.75">
      <c r="A5" s="2" t="s">
        <v>2</v>
      </c>
      <c r="B5" s="2">
        <v>30</v>
      </c>
      <c r="C5" t="s">
        <v>3</v>
      </c>
      <c r="E5" s="2" t="s">
        <v>32</v>
      </c>
      <c r="F5" s="2">
        <v>25</v>
      </c>
      <c r="G5" t="s">
        <v>18</v>
      </c>
      <c r="I5" s="2" t="s">
        <v>44</v>
      </c>
    </row>
    <row r="6" spans="1:11" ht="12.75">
      <c r="A6" s="2" t="s">
        <v>6</v>
      </c>
      <c r="B6" s="2">
        <v>60</v>
      </c>
      <c r="C6" t="s">
        <v>3</v>
      </c>
      <c r="E6" s="2"/>
      <c r="F6" s="7"/>
      <c r="I6" s="2" t="s">
        <v>72</v>
      </c>
      <c r="J6" s="3">
        <f>430/1.15</f>
        <v>373.9130434782609</v>
      </c>
      <c r="K6" s="8" t="s">
        <v>18</v>
      </c>
    </row>
    <row r="7" spans="1:7" ht="12.75">
      <c r="A7" s="2" t="s">
        <v>9</v>
      </c>
      <c r="B7" s="2">
        <v>4</v>
      </c>
      <c r="C7" t="s">
        <v>3</v>
      </c>
      <c r="E7" s="2" t="s">
        <v>70</v>
      </c>
      <c r="F7" s="2">
        <f>0.83*F5</f>
        <v>20.75</v>
      </c>
      <c r="G7" t="s">
        <v>18</v>
      </c>
    </row>
    <row r="8" spans="1:7" ht="12.75">
      <c r="A8" s="2" t="s">
        <v>14</v>
      </c>
      <c r="B8" s="2">
        <f>B6-B7</f>
        <v>56</v>
      </c>
      <c r="C8" t="s">
        <v>3</v>
      </c>
      <c r="E8" s="2" t="s">
        <v>71</v>
      </c>
      <c r="F8" s="5">
        <f>F7/1.6</f>
        <v>12.96875</v>
      </c>
      <c r="G8" t="s">
        <v>18</v>
      </c>
    </row>
    <row r="9" spans="1:6" ht="12.75">
      <c r="A9" s="2" t="s">
        <v>83</v>
      </c>
      <c r="B9" s="2">
        <f>0.9*B8</f>
        <v>50.4</v>
      </c>
      <c r="C9" t="s">
        <v>3</v>
      </c>
      <c r="E9" s="6"/>
      <c r="F9" s="2"/>
    </row>
    <row r="10" spans="1:6" ht="12.75">
      <c r="A10" s="2" t="s">
        <v>84</v>
      </c>
      <c r="B10" s="2">
        <v>180</v>
      </c>
      <c r="C10" t="s">
        <v>21</v>
      </c>
      <c r="E10" s="6" t="s">
        <v>20</v>
      </c>
      <c r="F10" s="7">
        <f>0.7-F7/200</f>
        <v>0.59625</v>
      </c>
    </row>
    <row r="12" spans="1:7" ht="12.75">
      <c r="A12" s="11" t="s">
        <v>79</v>
      </c>
      <c r="B12" s="12">
        <v>2</v>
      </c>
      <c r="E12" s="2" t="s">
        <v>73</v>
      </c>
      <c r="F12" s="3">
        <f>F10*F8*B5*0.9*B8*B12/(1+B12^2)/10</f>
        <v>467.6686874999999</v>
      </c>
      <c r="G12" t="s">
        <v>21</v>
      </c>
    </row>
    <row r="14" spans="5:6" ht="12.75">
      <c r="E14" s="2" t="s">
        <v>20</v>
      </c>
      <c r="F14" s="2">
        <v>2</v>
      </c>
    </row>
    <row r="15" spans="1:10" ht="12.75">
      <c r="A15" s="2" t="s">
        <v>43</v>
      </c>
      <c r="B15" s="5">
        <f>B10*100/(B9*B12*J6)*10</f>
        <v>4.775747508305647</v>
      </c>
      <c r="C15" t="s">
        <v>46</v>
      </c>
      <c r="E15" s="6" t="s">
        <v>49</v>
      </c>
      <c r="F15" s="3">
        <f>100/(B15/F14/0.5)</f>
        <v>20.939130434782612</v>
      </c>
      <c r="G15" t="s">
        <v>3</v>
      </c>
      <c r="I15" s="2"/>
      <c r="J15" s="3"/>
    </row>
    <row r="16" spans="1:10" s="14" customFormat="1" ht="12.75">
      <c r="A16" s="11"/>
      <c r="B16" s="11"/>
      <c r="I16" s="11"/>
      <c r="J16" s="16"/>
    </row>
    <row r="17" spans="2:10" s="14" customFormat="1" ht="12.75">
      <c r="B17" s="17"/>
      <c r="E17" s="11"/>
      <c r="F17" s="15"/>
      <c r="I17" s="11"/>
      <c r="J17" s="16"/>
    </row>
    <row r="18" s="14" customFormat="1" ht="12.75">
      <c r="A18" s="11"/>
    </row>
    <row r="19" spans="1:11" s="14" customFormat="1" ht="12.75">
      <c r="A19" s="11"/>
      <c r="B19" s="7"/>
      <c r="C19"/>
      <c r="D19"/>
      <c r="E19" s="2"/>
      <c r="F19" s="3"/>
      <c r="G19"/>
      <c r="H19"/>
      <c r="I19" s="2"/>
      <c r="J19" s="3"/>
      <c r="K19"/>
    </row>
    <row r="20" s="14" customFormat="1" ht="12.75">
      <c r="A20" s="11"/>
    </row>
    <row r="21" spans="1:6" s="14" customFormat="1" ht="12.75">
      <c r="A21" s="11"/>
      <c r="B21" s="17"/>
      <c r="F21" s="16"/>
    </row>
    <row r="22" s="14" customFormat="1" ht="12.75">
      <c r="F22" s="16"/>
    </row>
    <row r="23" ht="12.75">
      <c r="F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86</v>
      </c>
    </row>
    <row r="2" ht="12.75">
      <c r="A2" s="1" t="s">
        <v>77</v>
      </c>
    </row>
    <row r="5" spans="1:9" ht="12.75">
      <c r="A5" s="2" t="s">
        <v>2</v>
      </c>
      <c r="B5" s="2">
        <v>30</v>
      </c>
      <c r="C5" t="s">
        <v>3</v>
      </c>
      <c r="E5" s="2" t="s">
        <v>32</v>
      </c>
      <c r="F5" s="2">
        <v>25</v>
      </c>
      <c r="G5" t="s">
        <v>18</v>
      </c>
      <c r="I5" s="2" t="s">
        <v>44</v>
      </c>
    </row>
    <row r="6" spans="1:11" ht="12.75">
      <c r="A6" s="2" t="s">
        <v>6</v>
      </c>
      <c r="B6" s="2">
        <v>60</v>
      </c>
      <c r="C6" t="s">
        <v>3</v>
      </c>
      <c r="E6" s="2"/>
      <c r="F6" s="7"/>
      <c r="I6" s="2" t="s">
        <v>72</v>
      </c>
      <c r="J6" s="3">
        <f>430/1.15</f>
        <v>373.9130434782609</v>
      </c>
      <c r="K6" s="8" t="s">
        <v>18</v>
      </c>
    </row>
    <row r="7" spans="1:7" ht="12.75">
      <c r="A7" s="2" t="s">
        <v>9</v>
      </c>
      <c r="B7" s="2">
        <v>4</v>
      </c>
      <c r="C7" t="s">
        <v>3</v>
      </c>
      <c r="E7" s="2" t="s">
        <v>70</v>
      </c>
      <c r="F7" s="2">
        <f>0.83*F5</f>
        <v>20.75</v>
      </c>
      <c r="G7" t="s">
        <v>18</v>
      </c>
    </row>
    <row r="8" spans="1:7" ht="12.75">
      <c r="A8" s="2" t="s">
        <v>14</v>
      </c>
      <c r="B8" s="2">
        <f>B6-B7</f>
        <v>56</v>
      </c>
      <c r="C8" t="s">
        <v>3</v>
      </c>
      <c r="E8" s="2" t="s">
        <v>71</v>
      </c>
      <c r="F8" s="5">
        <f>F7/1.6</f>
        <v>12.96875</v>
      </c>
      <c r="G8" t="s">
        <v>18</v>
      </c>
    </row>
    <row r="9" spans="1:6" ht="12.75">
      <c r="A9" s="2"/>
      <c r="B9" s="2"/>
      <c r="E9" s="6"/>
      <c r="F9" s="2"/>
    </row>
    <row r="10" spans="1:6" ht="12.75">
      <c r="A10" s="2"/>
      <c r="B10" s="2"/>
      <c r="E10" s="6" t="s">
        <v>20</v>
      </c>
      <c r="F10" s="7">
        <f>0.7-F7/200</f>
        <v>0.59625</v>
      </c>
    </row>
    <row r="12" spans="1:7" ht="12.75">
      <c r="A12" s="11" t="s">
        <v>79</v>
      </c>
      <c r="B12" s="12">
        <v>2</v>
      </c>
      <c r="E12" s="2" t="s">
        <v>73</v>
      </c>
      <c r="F12" s="3">
        <f>F10*F8*B5*0.9*B8*B12/(1+B12^2)/10</f>
        <v>467.6686874999999</v>
      </c>
      <c r="G12" t="s">
        <v>21</v>
      </c>
    </row>
    <row r="13" spans="5:6" ht="12.75">
      <c r="E13" s="10"/>
      <c r="F13" s="7"/>
    </row>
    <row r="14" spans="1:2" ht="12.75">
      <c r="A14" s="2" t="s">
        <v>20</v>
      </c>
      <c r="B14" s="2">
        <v>2</v>
      </c>
    </row>
    <row r="15" spans="1:11" ht="12.75">
      <c r="A15" s="6" t="s">
        <v>49</v>
      </c>
      <c r="B15" s="2">
        <v>10</v>
      </c>
      <c r="C15" t="s">
        <v>3</v>
      </c>
      <c r="E15" s="2" t="s">
        <v>43</v>
      </c>
      <c r="F15" s="5">
        <f>0.5*$B$14*100/B15</f>
        <v>10</v>
      </c>
      <c r="G15" t="s">
        <v>46</v>
      </c>
      <c r="I15" s="2" t="s">
        <v>76</v>
      </c>
      <c r="J15" s="3">
        <f>F15*0.9*$B$8*$J$6*$B$12/1000</f>
        <v>376.90434782608696</v>
      </c>
      <c r="K15" t="s">
        <v>21</v>
      </c>
    </row>
    <row r="16" spans="1:11" ht="12.75">
      <c r="A16" s="6" t="s">
        <v>49</v>
      </c>
      <c r="B16" s="2">
        <v>15</v>
      </c>
      <c r="C16" t="s">
        <v>3</v>
      </c>
      <c r="E16" s="2" t="s">
        <v>43</v>
      </c>
      <c r="F16" s="5">
        <f>0.5*$B$14*100/B16</f>
        <v>6.666666666666667</v>
      </c>
      <c r="G16" t="s">
        <v>46</v>
      </c>
      <c r="I16" s="2" t="s">
        <v>76</v>
      </c>
      <c r="J16" s="3">
        <f>F16*0.9*$B$8*$J$6*$B$12/1000</f>
        <v>251.2695652173913</v>
      </c>
      <c r="K16" t="s">
        <v>21</v>
      </c>
    </row>
    <row r="17" spans="1:11" ht="12.75">
      <c r="A17" s="6" t="s">
        <v>49</v>
      </c>
      <c r="B17" s="2">
        <v>20</v>
      </c>
      <c r="C17" t="s">
        <v>3</v>
      </c>
      <c r="E17" s="2" t="s">
        <v>43</v>
      </c>
      <c r="F17" s="5">
        <f>0.5*$B$14*100/B17</f>
        <v>5</v>
      </c>
      <c r="G17" t="s">
        <v>46</v>
      </c>
      <c r="I17" s="2" t="s">
        <v>76</v>
      </c>
      <c r="J17" s="3">
        <f>F17*0.9*$B$8*$J$6*$B$12/1000</f>
        <v>188.45217391304348</v>
      </c>
      <c r="K17" t="s">
        <v>21</v>
      </c>
    </row>
    <row r="18" ht="12.75">
      <c r="A18" s="2"/>
    </row>
    <row r="20" ht="12.75">
      <c r="A20" s="2"/>
    </row>
    <row r="21" spans="1:6" ht="12.75">
      <c r="A21" s="2"/>
      <c r="B21" s="3"/>
      <c r="F21" s="3"/>
    </row>
    <row r="22" ht="12.75">
      <c r="F22" s="3"/>
    </row>
    <row r="23" ht="12.75">
      <c r="F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" t="s">
        <v>89</v>
      </c>
    </row>
    <row r="3" spans="1:10" ht="12.75">
      <c r="A3" s="2" t="s">
        <v>2</v>
      </c>
      <c r="B3" s="2">
        <v>80</v>
      </c>
      <c r="D3" s="2">
        <v>30</v>
      </c>
      <c r="F3" t="s">
        <v>3</v>
      </c>
      <c r="H3" s="2" t="s">
        <v>32</v>
      </c>
      <c r="I3" s="2">
        <v>25</v>
      </c>
      <c r="J3" t="s">
        <v>18</v>
      </c>
    </row>
    <row r="4" spans="1:10" ht="12.75">
      <c r="A4" s="2" t="s">
        <v>6</v>
      </c>
      <c r="B4" s="2">
        <v>24</v>
      </c>
      <c r="D4" s="2">
        <v>60</v>
      </c>
      <c r="F4" t="s">
        <v>3</v>
      </c>
      <c r="H4" s="6" t="s">
        <v>33</v>
      </c>
      <c r="I4" s="5">
        <f>0.4+(I3-15)/75</f>
        <v>0.5333333333333333</v>
      </c>
      <c r="J4" t="s">
        <v>18</v>
      </c>
    </row>
    <row r="5" spans="1:10" ht="12.75">
      <c r="A5" s="2" t="s">
        <v>9</v>
      </c>
      <c r="B5" s="2">
        <v>4</v>
      </c>
      <c r="D5" s="2">
        <f>B5</f>
        <v>4</v>
      </c>
      <c r="F5" t="s">
        <v>3</v>
      </c>
      <c r="H5" s="6" t="s">
        <v>34</v>
      </c>
      <c r="I5" s="5">
        <f>1.4+(I3-15)/35</f>
        <v>1.6857142857142855</v>
      </c>
      <c r="J5" t="s">
        <v>18</v>
      </c>
    </row>
    <row r="6" spans="1:10" ht="12.75">
      <c r="A6" s="2" t="s">
        <v>14</v>
      </c>
      <c r="B6" s="2">
        <f>B4-B5</f>
        <v>20</v>
      </c>
      <c r="D6" s="2">
        <f>D4-D5</f>
        <v>56</v>
      </c>
      <c r="F6" t="s">
        <v>3</v>
      </c>
      <c r="H6" s="6" t="s">
        <v>105</v>
      </c>
      <c r="I6" s="2">
        <v>255</v>
      </c>
      <c r="J6" t="s">
        <v>18</v>
      </c>
    </row>
    <row r="7" spans="1:9" ht="12.75">
      <c r="A7" s="2" t="s">
        <v>107</v>
      </c>
      <c r="B7" s="2">
        <f>B3*B6</f>
        <v>1600</v>
      </c>
      <c r="C7" s="2"/>
      <c r="D7" s="2">
        <f>D3*D6</f>
        <v>1680</v>
      </c>
      <c r="F7" t="s">
        <v>5</v>
      </c>
      <c r="H7" s="6" t="s">
        <v>90</v>
      </c>
      <c r="I7" s="2">
        <v>1.6</v>
      </c>
    </row>
    <row r="8" spans="1:10" ht="12.75">
      <c r="A8" s="2" t="s">
        <v>11</v>
      </c>
      <c r="B8" s="5">
        <f>4*PI()</f>
        <v>12.566370614359172</v>
      </c>
      <c r="D8" s="5">
        <f>4*PI()</f>
        <v>12.566370614359172</v>
      </c>
      <c r="F8" t="s">
        <v>5</v>
      </c>
      <c r="H8" s="2" t="s">
        <v>63</v>
      </c>
      <c r="I8" s="5">
        <f>0.7*0.27*I3^(2/3)/I7</f>
        <v>1.0099545435059236</v>
      </c>
      <c r="J8" t="s">
        <v>18</v>
      </c>
    </row>
    <row r="9" spans="1:10" ht="12.75">
      <c r="A9" s="6" t="s">
        <v>60</v>
      </c>
      <c r="B9" s="9">
        <f>B8/B3/B6</f>
        <v>0.007853981633974483</v>
      </c>
      <c r="D9" s="9">
        <f>D8/D3/D6</f>
        <v>0.007479982508547126</v>
      </c>
      <c r="H9" s="6" t="s">
        <v>93</v>
      </c>
      <c r="I9" s="5">
        <f>0.25*I8</f>
        <v>0.2524886358764809</v>
      </c>
      <c r="J9" t="s">
        <v>18</v>
      </c>
    </row>
    <row r="10" spans="1:10" ht="12.75">
      <c r="A10" s="2" t="s">
        <v>91</v>
      </c>
      <c r="B10" s="5">
        <f>MAX(1,1.6-B6/100)</f>
        <v>1.4000000000000001</v>
      </c>
      <c r="D10" s="5">
        <f>MAX(1,1.6-D6/100)</f>
        <v>1.04</v>
      </c>
      <c r="H10" s="2" t="s">
        <v>70</v>
      </c>
      <c r="I10" s="5">
        <f>0.83*I3</f>
        <v>20.75</v>
      </c>
      <c r="J10" t="s">
        <v>18</v>
      </c>
    </row>
    <row r="11" spans="1:10" ht="12.75">
      <c r="A11" s="2" t="s">
        <v>92</v>
      </c>
      <c r="B11" s="5">
        <f>1.2+40*B9</f>
        <v>1.5141592653589793</v>
      </c>
      <c r="D11" s="5">
        <f>1.2+40*D9</f>
        <v>1.499199300341885</v>
      </c>
      <c r="H11" s="2" t="s">
        <v>71</v>
      </c>
      <c r="I11" s="5">
        <f>0.83*I3/I7</f>
        <v>12.96875</v>
      </c>
      <c r="J11" t="s">
        <v>18</v>
      </c>
    </row>
    <row r="12" spans="1:9" ht="12.75">
      <c r="A12" s="2" t="s">
        <v>66</v>
      </c>
      <c r="B12" s="5">
        <f>$I$9*B10*B11*B3*B6/10</f>
        <v>85.63699365988998</v>
      </c>
      <c r="D12" s="5">
        <f>$I$9*D10*D11*D3*D6/10</f>
        <v>66.13689897365192</v>
      </c>
      <c r="F12" t="s">
        <v>21</v>
      </c>
      <c r="H12" s="6" t="s">
        <v>20</v>
      </c>
      <c r="I12" s="7">
        <f>0.7-I10/200</f>
        <v>0.59625</v>
      </c>
    </row>
    <row r="13" spans="1:10" ht="12.75">
      <c r="A13" s="2" t="s">
        <v>35</v>
      </c>
      <c r="B13" s="5">
        <f>$I$4*0.9*B3*B6/10</f>
        <v>76.8</v>
      </c>
      <c r="D13" s="5">
        <f>$I$4*0.9*D3*D6/10</f>
        <v>80.63999999999999</v>
      </c>
      <c r="F13" t="s">
        <v>21</v>
      </c>
      <c r="H13" s="6" t="s">
        <v>95</v>
      </c>
      <c r="I13" s="5">
        <f>I12*I11</f>
        <v>7.732617187499999</v>
      </c>
      <c r="J13" t="s">
        <v>18</v>
      </c>
    </row>
    <row r="14" spans="1:10" ht="12.75">
      <c r="A14" s="2" t="s">
        <v>94</v>
      </c>
      <c r="B14" s="5">
        <f>1.45*B13</f>
        <v>111.36</v>
      </c>
      <c r="D14" s="5">
        <f>1.45*D13</f>
        <v>116.92799999999998</v>
      </c>
      <c r="F14" t="s">
        <v>21</v>
      </c>
      <c r="H14" s="2" t="s">
        <v>100</v>
      </c>
      <c r="I14" s="2">
        <v>430</v>
      </c>
      <c r="J14" t="s">
        <v>18</v>
      </c>
    </row>
    <row r="15" spans="1:9" ht="12.75">
      <c r="A15" s="2" t="s">
        <v>73</v>
      </c>
      <c r="B15" s="5">
        <f>$I$13*B3*0.9*B6/2/10</f>
        <v>556.7484374999999</v>
      </c>
      <c r="D15" s="5">
        <f>$I$13*D3*0.9*D6/2/10</f>
        <v>584.5858593749999</v>
      </c>
      <c r="F15" t="s">
        <v>21</v>
      </c>
      <c r="H15" s="6" t="s">
        <v>101</v>
      </c>
      <c r="I15" s="2">
        <v>1.15</v>
      </c>
    </row>
    <row r="16" spans="1:10" ht="12.75">
      <c r="A16" s="2" t="s">
        <v>73</v>
      </c>
      <c r="B16" s="5">
        <f>0.8*B15</f>
        <v>445.39874999999995</v>
      </c>
      <c r="D16" s="5">
        <f>0.8*D15</f>
        <v>467.6686875</v>
      </c>
      <c r="H16" s="2" t="s">
        <v>72</v>
      </c>
      <c r="I16" s="3">
        <f>I14/I15</f>
        <v>373.9130434782609</v>
      </c>
      <c r="J16" t="s">
        <v>18</v>
      </c>
    </row>
    <row r="17" spans="1:6" ht="12.75">
      <c r="A17" s="2" t="s">
        <v>36</v>
      </c>
      <c r="B17" s="5">
        <f>$I$5*0.9*B3*B6/10</f>
        <v>242.7428571428571</v>
      </c>
      <c r="D17" s="5">
        <f>$I$5*0.9*D3*D6/10</f>
        <v>254.87999999999994</v>
      </c>
      <c r="F17" t="s">
        <v>21</v>
      </c>
    </row>
    <row r="18" spans="1:6" ht="12.75">
      <c r="A18" s="2" t="s">
        <v>96</v>
      </c>
      <c r="B18" s="5">
        <f>1.45*B17</f>
        <v>351.9771428571428</v>
      </c>
      <c r="D18" s="5">
        <f>1.45*D17</f>
        <v>369.5759999999999</v>
      </c>
      <c r="F18" t="s">
        <v>21</v>
      </c>
    </row>
    <row r="19" spans="1:5" ht="12.75">
      <c r="A19" s="2" t="s">
        <v>97</v>
      </c>
      <c r="B19" s="6" t="s">
        <v>98</v>
      </c>
      <c r="C19" s="6" t="s">
        <v>99</v>
      </c>
      <c r="D19" s="6" t="s">
        <v>98</v>
      </c>
      <c r="E19" s="6" t="s">
        <v>99</v>
      </c>
    </row>
    <row r="20" spans="1:6" ht="12.75">
      <c r="A20" s="2" t="s">
        <v>43</v>
      </c>
      <c r="B20" s="3">
        <f>2*0.5*10</f>
        <v>10</v>
      </c>
      <c r="C20" s="3">
        <f>B20/2</f>
        <v>5</v>
      </c>
      <c r="D20" s="3">
        <f>2*0.5*10</f>
        <v>10</v>
      </c>
      <c r="E20" s="3">
        <f>D20/2</f>
        <v>5</v>
      </c>
      <c r="F20" t="s">
        <v>46</v>
      </c>
    </row>
    <row r="21" spans="1:6" ht="12.75">
      <c r="A21" s="2" t="s">
        <v>102</v>
      </c>
      <c r="B21" s="5">
        <f>B20*0.9*B6*$I$16/1000+B12</f>
        <v>152.94134148597692</v>
      </c>
      <c r="C21" s="5">
        <f>C20*0.9*B6*$I$16/1000+B12</f>
        <v>119.28916757293345</v>
      </c>
      <c r="D21" s="5">
        <f>D20*0.9*D6*$I$16/1000+D12</f>
        <v>254.58907288669542</v>
      </c>
      <c r="E21" s="5">
        <f>E20*0.9*D6*$I$16/1000+D12</f>
        <v>160.36298593017366</v>
      </c>
      <c r="F21" t="s">
        <v>21</v>
      </c>
    </row>
    <row r="22" spans="1:6" ht="12.75">
      <c r="A22" s="2" t="s">
        <v>103</v>
      </c>
      <c r="B22" s="5">
        <f>B20*0.9*B6*$I$16/1000*2</f>
        <v>134.6086956521739</v>
      </c>
      <c r="C22" s="5">
        <f>C20*0.9*B6*$I$16/1000*2</f>
        <v>67.30434782608695</v>
      </c>
      <c r="D22" s="5">
        <f>D20*0.9*D6*$I$16/1000*2</f>
        <v>376.90434782608696</v>
      </c>
      <c r="E22" s="5">
        <f>E20*0.9*D6*$I$16/1000*2</f>
        <v>188.45217391304348</v>
      </c>
      <c r="F22" t="s">
        <v>21</v>
      </c>
    </row>
    <row r="23" spans="1:6" ht="12.75">
      <c r="A23" s="2" t="s">
        <v>104</v>
      </c>
      <c r="B23" s="5">
        <f>B20*0.9*B6*$I$6/1000</f>
        <v>45.9</v>
      </c>
      <c r="C23" s="5">
        <f>C20*0.9*B6*$I$6/1000</f>
        <v>22.95</v>
      </c>
      <c r="D23" s="5">
        <f>D20*0.9*D6*$I$6/1000</f>
        <v>128.52</v>
      </c>
      <c r="E23" s="5">
        <f>E20*0.9*D6*$I$6/1000</f>
        <v>64.26</v>
      </c>
      <c r="F23" t="s">
        <v>21</v>
      </c>
    </row>
    <row r="24" spans="1:6" ht="12.75">
      <c r="A24" s="2" t="s">
        <v>106</v>
      </c>
      <c r="B24" s="5">
        <f>1.45*B23</f>
        <v>66.55499999999999</v>
      </c>
      <c r="C24" s="5">
        <f>1.45*C23</f>
        <v>33.277499999999996</v>
      </c>
      <c r="D24" s="5">
        <f>1.45*D23</f>
        <v>186.354</v>
      </c>
      <c r="E24" s="5">
        <f>1.45*E23</f>
        <v>93.177</v>
      </c>
      <c r="F24" t="s">
        <v>21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25</v>
      </c>
    </row>
    <row r="2" ht="12.75">
      <c r="A2" s="1" t="s">
        <v>1</v>
      </c>
    </row>
    <row r="5" spans="1:7" ht="12.75">
      <c r="A5" s="2" t="s">
        <v>2</v>
      </c>
      <c r="B5" s="2">
        <v>30</v>
      </c>
      <c r="C5" t="s">
        <v>3</v>
      </c>
      <c r="E5" s="2" t="s">
        <v>4</v>
      </c>
      <c r="F5" s="3">
        <f>B5*B6+B14*(B8+B9)</f>
        <v>1609.7928</v>
      </c>
      <c r="G5" t="s">
        <v>5</v>
      </c>
    </row>
    <row r="6" spans="1:7" ht="12.75">
      <c r="A6" s="2" t="s">
        <v>6</v>
      </c>
      <c r="B6" s="2">
        <v>50</v>
      </c>
      <c r="C6" t="s">
        <v>3</v>
      </c>
      <c r="E6" s="2" t="s">
        <v>7</v>
      </c>
      <c r="F6" s="4">
        <f>B5*B6^2/2+B14*(B9*B7+B8*B10)</f>
        <v>41642.361600000004</v>
      </c>
      <c r="G6" t="s">
        <v>8</v>
      </c>
    </row>
    <row r="7" spans="1:7" ht="12.75">
      <c r="A7" s="2" t="s">
        <v>9</v>
      </c>
      <c r="B7" s="2">
        <v>4</v>
      </c>
      <c r="C7" t="s">
        <v>3</v>
      </c>
      <c r="E7" s="2" t="s">
        <v>10</v>
      </c>
      <c r="F7" s="5">
        <f>F6/F5</f>
        <v>25.868149987998457</v>
      </c>
      <c r="G7" t="s">
        <v>3</v>
      </c>
    </row>
    <row r="8" spans="1:7" ht="12.75">
      <c r="A8" s="2" t="s">
        <v>11</v>
      </c>
      <c r="B8" s="2">
        <v>12.56</v>
      </c>
      <c r="C8" t="s">
        <v>5</v>
      </c>
      <c r="E8" s="2" t="s">
        <v>12</v>
      </c>
      <c r="F8" s="5">
        <f>B6-F7</f>
        <v>24.131850012001543</v>
      </c>
      <c r="G8" t="s">
        <v>3</v>
      </c>
    </row>
    <row r="9" spans="1:3" ht="12.75">
      <c r="A9" s="2" t="s">
        <v>13</v>
      </c>
      <c r="B9" s="2">
        <v>3.08</v>
      </c>
      <c r="C9" t="s">
        <v>5</v>
      </c>
    </row>
    <row r="10" spans="1:7" ht="12.75">
      <c r="A10" s="2" t="s">
        <v>14</v>
      </c>
      <c r="B10" s="2">
        <f>B6-B7</f>
        <v>46</v>
      </c>
      <c r="C10" t="s">
        <v>3</v>
      </c>
      <c r="E10" s="2" t="s">
        <v>15</v>
      </c>
      <c r="F10" s="4">
        <f>B5*(F8^3+F7^3)/3+B14*(B9*(F8-B7)^2+B8*(F7-B7)^2)</f>
        <v>364558.45196980203</v>
      </c>
      <c r="G10" t="s">
        <v>16</v>
      </c>
    </row>
    <row r="12" spans="1:7" ht="12.75">
      <c r="A12" s="2" t="s">
        <v>17</v>
      </c>
      <c r="B12" s="2">
        <v>200000</v>
      </c>
      <c r="C12" t="s">
        <v>18</v>
      </c>
      <c r="E12" s="2" t="s">
        <v>23</v>
      </c>
      <c r="F12" s="3">
        <f>B5*F8^2/2+B14*B8*(F8-B7)</f>
        <v>10510.242148804273</v>
      </c>
      <c r="G12" t="s">
        <v>8</v>
      </c>
    </row>
    <row r="13" spans="1:6" ht="12.75">
      <c r="A13" s="2" t="s">
        <v>19</v>
      </c>
      <c r="B13" s="2">
        <v>28500</v>
      </c>
      <c r="C13" t="s">
        <v>18</v>
      </c>
      <c r="E13" s="2"/>
      <c r="F13" s="5"/>
    </row>
    <row r="14" spans="1:7" ht="12.75">
      <c r="A14" s="2" t="s">
        <v>20</v>
      </c>
      <c r="B14" s="2">
        <f>ROUND(B12/B13,2)</f>
        <v>7.02</v>
      </c>
      <c r="E14" s="6" t="s">
        <v>24</v>
      </c>
      <c r="F14" s="7">
        <f>B16*F12/(F10*B5)*10</f>
        <v>0.48050100480068253</v>
      </c>
      <c r="G14" t="s">
        <v>18</v>
      </c>
    </row>
    <row r="15" spans="5:6" ht="12.75">
      <c r="E15" s="2"/>
      <c r="F15" s="3"/>
    </row>
    <row r="16" spans="1:6" ht="12.75">
      <c r="A16" s="2" t="s">
        <v>22</v>
      </c>
      <c r="B16" s="2">
        <v>50</v>
      </c>
      <c r="C16" t="s">
        <v>21</v>
      </c>
      <c r="E16" s="2"/>
      <c r="F16" s="3"/>
    </row>
    <row r="18" spans="5:6" ht="12.75">
      <c r="E18" s="2"/>
      <c r="F18" s="3"/>
    </row>
    <row r="19" spans="1:2" ht="12.75">
      <c r="A19" s="2"/>
      <c r="B19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26</v>
      </c>
    </row>
    <row r="2" ht="12.75">
      <c r="A2" s="1" t="s">
        <v>27</v>
      </c>
    </row>
    <row r="5" spans="1:5" ht="12.75">
      <c r="A5" s="2" t="s">
        <v>2</v>
      </c>
      <c r="B5" s="2">
        <v>30</v>
      </c>
      <c r="C5" t="s">
        <v>3</v>
      </c>
      <c r="E5" t="s">
        <v>29</v>
      </c>
    </row>
    <row r="6" spans="1:7" ht="12.75">
      <c r="A6" s="2" t="s">
        <v>6</v>
      </c>
      <c r="B6" s="2">
        <v>50</v>
      </c>
      <c r="C6" t="s">
        <v>3</v>
      </c>
      <c r="E6" s="2" t="s">
        <v>28</v>
      </c>
      <c r="F6" s="5">
        <v>17.7</v>
      </c>
      <c r="G6" t="s">
        <v>3</v>
      </c>
    </row>
    <row r="7" spans="1:7" ht="12.75">
      <c r="A7" s="2" t="s">
        <v>9</v>
      </c>
      <c r="B7" s="2">
        <v>4</v>
      </c>
      <c r="C7" t="s">
        <v>3</v>
      </c>
      <c r="E7" s="2" t="s">
        <v>15</v>
      </c>
      <c r="F7" s="4">
        <v>215011</v>
      </c>
      <c r="G7" t="s">
        <v>16</v>
      </c>
    </row>
    <row r="8" spans="1:6" ht="12.75">
      <c r="A8" s="2" t="s">
        <v>11</v>
      </c>
      <c r="B8" s="2">
        <v>12.56</v>
      </c>
      <c r="C8" t="s">
        <v>5</v>
      </c>
      <c r="E8" s="2"/>
      <c r="F8" s="5"/>
    </row>
    <row r="9" spans="1:3" ht="12.75">
      <c r="A9" s="2" t="s">
        <v>13</v>
      </c>
      <c r="B9" s="2">
        <v>3.08</v>
      </c>
      <c r="C9" t="s">
        <v>5</v>
      </c>
    </row>
    <row r="10" spans="1:3" ht="12.75">
      <c r="A10" s="2" t="s">
        <v>14</v>
      </c>
      <c r="B10" s="2">
        <f>B6-B7</f>
        <v>46</v>
      </c>
      <c r="C10" t="s">
        <v>3</v>
      </c>
    </row>
    <row r="12" spans="1:7" ht="12.75">
      <c r="A12" s="2" t="s">
        <v>17</v>
      </c>
      <c r="B12" s="2">
        <v>200000</v>
      </c>
      <c r="C12" t="s">
        <v>18</v>
      </c>
      <c r="E12" s="2" t="s">
        <v>23</v>
      </c>
      <c r="F12" s="3">
        <f>B5*F6^2/2+B14*B9*(F6-B7)</f>
        <v>5332.289999999999</v>
      </c>
      <c r="G12" t="s">
        <v>8</v>
      </c>
    </row>
    <row r="13" spans="1:6" ht="12.75">
      <c r="A13" s="2" t="s">
        <v>19</v>
      </c>
      <c r="B13" s="2">
        <v>28500</v>
      </c>
      <c r="C13" t="s">
        <v>18</v>
      </c>
      <c r="E13" s="2"/>
      <c r="F13" s="5"/>
    </row>
    <row r="14" spans="1:7" ht="12.75">
      <c r="A14" s="2" t="s">
        <v>20</v>
      </c>
      <c r="B14" s="2">
        <v>15</v>
      </c>
      <c r="E14" s="6" t="s">
        <v>24</v>
      </c>
      <c r="F14" s="7">
        <f>B16*F12/(F7*B5)*10</f>
        <v>1.2400039997953591</v>
      </c>
      <c r="G14" t="s">
        <v>18</v>
      </c>
    </row>
    <row r="15" spans="5:7" ht="12.75">
      <c r="E15" s="2" t="s">
        <v>30</v>
      </c>
      <c r="F15" s="7">
        <f>B16/(0.9*B10*B5)*10</f>
        <v>1.2077294685990339</v>
      </c>
      <c r="G15" t="s">
        <v>18</v>
      </c>
    </row>
    <row r="16" spans="1:6" ht="12.75">
      <c r="A16" s="2" t="s">
        <v>22</v>
      </c>
      <c r="B16" s="2">
        <v>150</v>
      </c>
      <c r="C16" t="s">
        <v>21</v>
      </c>
      <c r="E16" s="2"/>
      <c r="F16" s="3"/>
    </row>
    <row r="18" spans="5:6" ht="12.75">
      <c r="E18" s="2"/>
      <c r="F18" s="3"/>
    </row>
    <row r="19" spans="1:2" ht="12.75">
      <c r="A19" s="2"/>
      <c r="B19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31</v>
      </c>
    </row>
    <row r="2" ht="12.75">
      <c r="A2" s="1" t="s">
        <v>37</v>
      </c>
    </row>
    <row r="5" spans="1:7" ht="12.75">
      <c r="A5" s="2" t="s">
        <v>2</v>
      </c>
      <c r="B5" s="2">
        <v>30</v>
      </c>
      <c r="C5" t="s">
        <v>3</v>
      </c>
      <c r="E5" s="2" t="s">
        <v>32</v>
      </c>
      <c r="F5" s="2">
        <v>25</v>
      </c>
      <c r="G5" t="s">
        <v>18</v>
      </c>
    </row>
    <row r="6" spans="1:6" ht="12.75">
      <c r="A6" s="2" t="s">
        <v>6</v>
      </c>
      <c r="B6" s="2">
        <v>50</v>
      </c>
      <c r="C6" t="s">
        <v>3</v>
      </c>
      <c r="E6" s="2"/>
      <c r="F6" s="2"/>
    </row>
    <row r="7" spans="1:7" ht="12.75">
      <c r="A7" s="2" t="s">
        <v>9</v>
      </c>
      <c r="B7" s="2">
        <v>4</v>
      </c>
      <c r="C7" t="s">
        <v>3</v>
      </c>
      <c r="E7" s="6" t="s">
        <v>33</v>
      </c>
      <c r="F7" s="2">
        <f>ROUND(0.4+($F$5-15)/75,2)</f>
        <v>0.53</v>
      </c>
      <c r="G7" t="s">
        <v>18</v>
      </c>
    </row>
    <row r="8" spans="1:7" ht="12.75">
      <c r="A8" s="2" t="s">
        <v>14</v>
      </c>
      <c r="B8" s="2">
        <f>B6-B7</f>
        <v>46</v>
      </c>
      <c r="C8" t="s">
        <v>3</v>
      </c>
      <c r="E8" s="6" t="s">
        <v>34</v>
      </c>
      <c r="F8" s="2">
        <f>ROUND(1.4+($F$5-15)/35,2)</f>
        <v>1.69</v>
      </c>
      <c r="G8" t="s">
        <v>18</v>
      </c>
    </row>
    <row r="10" spans="1:3" ht="12.75">
      <c r="A10" s="2" t="s">
        <v>35</v>
      </c>
      <c r="B10" s="3">
        <f>F7*$B$5*0.9*$B$8/10</f>
        <v>65.826</v>
      </c>
      <c r="C10" t="s">
        <v>21</v>
      </c>
    </row>
    <row r="11" spans="1:3" ht="12.75">
      <c r="A11" s="2" t="s">
        <v>36</v>
      </c>
      <c r="B11" s="3">
        <f>F8*$B$5*0.9*$B$8/10</f>
        <v>209.89799999999997</v>
      </c>
      <c r="C11" t="s">
        <v>21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38</v>
      </c>
    </row>
    <row r="2" ht="12.75">
      <c r="A2" s="1" t="s">
        <v>39</v>
      </c>
    </row>
    <row r="5" spans="1:7" ht="12.75">
      <c r="A5" s="2" t="s">
        <v>2</v>
      </c>
      <c r="B5" s="2">
        <v>80</v>
      </c>
      <c r="C5" t="s">
        <v>3</v>
      </c>
      <c r="E5" s="2" t="s">
        <v>32</v>
      </c>
      <c r="F5" s="2">
        <v>25</v>
      </c>
      <c r="G5" t="s">
        <v>18</v>
      </c>
    </row>
    <row r="6" spans="1:6" ht="12.75">
      <c r="A6" s="2" t="s">
        <v>6</v>
      </c>
      <c r="B6" s="2">
        <v>24</v>
      </c>
      <c r="C6" t="s">
        <v>3</v>
      </c>
      <c r="E6" s="2"/>
      <c r="F6" s="2"/>
    </row>
    <row r="7" spans="1:7" ht="12.75">
      <c r="A7" s="2" t="s">
        <v>9</v>
      </c>
      <c r="B7" s="2">
        <v>4</v>
      </c>
      <c r="C7" t="s">
        <v>3</v>
      </c>
      <c r="E7" s="6" t="s">
        <v>33</v>
      </c>
      <c r="F7" s="2">
        <f>ROUND(0.4+($F$5-15)/75,2)</f>
        <v>0.53</v>
      </c>
      <c r="G7" t="s">
        <v>18</v>
      </c>
    </row>
    <row r="8" spans="1:7" ht="12.75">
      <c r="A8" s="2" t="s">
        <v>14</v>
      </c>
      <c r="B8" s="2">
        <f>B6-B7</f>
        <v>20</v>
      </c>
      <c r="C8" t="s">
        <v>3</v>
      </c>
      <c r="E8" s="6" t="s">
        <v>34</v>
      </c>
      <c r="F8" s="2">
        <f>ROUND(1.4+($F$5-15)/35,2)</f>
        <v>1.69</v>
      </c>
      <c r="G8" t="s">
        <v>18</v>
      </c>
    </row>
    <row r="10" spans="1:3" ht="12.75">
      <c r="A10" s="2" t="s">
        <v>35</v>
      </c>
      <c r="B10" s="3">
        <f>F7*$B$5*0.9*$B$8/10</f>
        <v>76.32000000000001</v>
      </c>
      <c r="C10" t="s">
        <v>21</v>
      </c>
    </row>
    <row r="11" spans="1:3" ht="12.75">
      <c r="A11" s="2" t="s">
        <v>36</v>
      </c>
      <c r="B11" s="3">
        <f>F8*$B$5*0.9*$B$8/10</f>
        <v>243.35999999999999</v>
      </c>
      <c r="C11" t="s">
        <v>21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40</v>
      </c>
    </row>
    <row r="2" ht="12.75">
      <c r="A2" s="1" t="s">
        <v>41</v>
      </c>
    </row>
    <row r="5" spans="1:9" ht="12.75">
      <c r="A5" s="2" t="s">
        <v>2</v>
      </c>
      <c r="B5" s="2">
        <v>30</v>
      </c>
      <c r="C5" t="s">
        <v>3</v>
      </c>
      <c r="E5" s="2" t="s">
        <v>32</v>
      </c>
      <c r="F5" s="2">
        <v>25</v>
      </c>
      <c r="G5" t="s">
        <v>18</v>
      </c>
      <c r="I5" s="2" t="s">
        <v>44</v>
      </c>
    </row>
    <row r="6" spans="1:11" ht="12.75">
      <c r="A6" s="2" t="s">
        <v>6</v>
      </c>
      <c r="B6" s="2">
        <v>60</v>
      </c>
      <c r="C6" t="s">
        <v>3</v>
      </c>
      <c r="E6" s="2"/>
      <c r="F6" s="2"/>
      <c r="I6" s="6" t="s">
        <v>45</v>
      </c>
      <c r="J6" s="2">
        <v>255</v>
      </c>
      <c r="K6" s="8" t="s">
        <v>18</v>
      </c>
    </row>
    <row r="7" spans="1:7" ht="12.75">
      <c r="A7" s="2" t="s">
        <v>9</v>
      </c>
      <c r="B7" s="2">
        <v>4</v>
      </c>
      <c r="C7" t="s">
        <v>3</v>
      </c>
      <c r="E7" s="6" t="s">
        <v>33</v>
      </c>
      <c r="F7" s="2">
        <f>ROUND(0.4+($F$5-15)/75,2)</f>
        <v>0.53</v>
      </c>
      <c r="G7" t="s">
        <v>18</v>
      </c>
    </row>
    <row r="8" spans="1:7" ht="12.75">
      <c r="A8" s="2" t="s">
        <v>14</v>
      </c>
      <c r="B8" s="2">
        <f>B6-B7</f>
        <v>56</v>
      </c>
      <c r="C8" t="s">
        <v>3</v>
      </c>
      <c r="E8" s="6" t="s">
        <v>34</v>
      </c>
      <c r="F8" s="2">
        <f>ROUND(1.4+($F$5-15)/35,2)</f>
        <v>1.69</v>
      </c>
      <c r="G8" t="s">
        <v>18</v>
      </c>
    </row>
    <row r="10" spans="1:7" ht="12.75">
      <c r="A10" s="2" t="s">
        <v>22</v>
      </c>
      <c r="B10" s="2">
        <v>120</v>
      </c>
      <c r="C10" t="s">
        <v>21</v>
      </c>
      <c r="E10" s="6" t="s">
        <v>42</v>
      </c>
      <c r="F10" s="5">
        <f>B10/(0.9*B5*B8)*10</f>
        <v>0.7936507936507936</v>
      </c>
      <c r="G10" t="s">
        <v>18</v>
      </c>
    </row>
    <row r="12" spans="1:2" ht="12.75">
      <c r="A12" s="2" t="s">
        <v>20</v>
      </c>
      <c r="B12" s="2">
        <v>2</v>
      </c>
    </row>
    <row r="13" spans="1:3" ht="12.75">
      <c r="A13" s="2" t="s">
        <v>43</v>
      </c>
      <c r="B13" s="5">
        <f>B10/(0.9*B8*J6)*1000</f>
        <v>9.337068160597573</v>
      </c>
      <c r="C13" t="s">
        <v>46</v>
      </c>
    </row>
    <row r="14" spans="2:3" ht="12.75">
      <c r="B14" s="5">
        <f>B13/B12</f>
        <v>4.6685340802987865</v>
      </c>
      <c r="C14" t="s">
        <v>46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47</v>
      </c>
    </row>
    <row r="2" ht="12.75">
      <c r="A2" s="1" t="s">
        <v>48</v>
      </c>
    </row>
    <row r="5" spans="1:9" ht="12.75">
      <c r="A5" s="2" t="s">
        <v>2</v>
      </c>
      <c r="B5" s="2">
        <v>30</v>
      </c>
      <c r="C5" t="s">
        <v>3</v>
      </c>
      <c r="E5" s="2" t="s">
        <v>32</v>
      </c>
      <c r="F5" s="2">
        <v>25</v>
      </c>
      <c r="G5" t="s">
        <v>18</v>
      </c>
      <c r="I5" s="2" t="s">
        <v>44</v>
      </c>
    </row>
    <row r="6" spans="1:11" ht="12.75">
      <c r="A6" s="2" t="s">
        <v>6</v>
      </c>
      <c r="B6" s="2">
        <v>60</v>
      </c>
      <c r="C6" t="s">
        <v>3</v>
      </c>
      <c r="E6" s="2"/>
      <c r="F6" s="2"/>
      <c r="I6" s="6" t="s">
        <v>45</v>
      </c>
      <c r="J6" s="2">
        <v>255</v>
      </c>
      <c r="K6" s="8" t="s">
        <v>18</v>
      </c>
    </row>
    <row r="7" spans="1:7" ht="12.75">
      <c r="A7" s="2" t="s">
        <v>9</v>
      </c>
      <c r="B7" s="2">
        <v>4</v>
      </c>
      <c r="C7" t="s">
        <v>3</v>
      </c>
      <c r="E7" s="6" t="s">
        <v>33</v>
      </c>
      <c r="F7" s="2">
        <f>ROUND(0.4+($F$5-15)/75,2)</f>
        <v>0.53</v>
      </c>
      <c r="G7" t="s">
        <v>18</v>
      </c>
    </row>
    <row r="8" spans="1:7" ht="12.75">
      <c r="A8" s="2" t="s">
        <v>14</v>
      </c>
      <c r="B8" s="2">
        <f>B6-B7</f>
        <v>56</v>
      </c>
      <c r="C8" t="s">
        <v>3</v>
      </c>
      <c r="E8" s="6" t="s">
        <v>34</v>
      </c>
      <c r="F8" s="2">
        <f>ROUND(1.4+($F$5-15)/35,2)</f>
        <v>1.69</v>
      </c>
      <c r="G8" t="s">
        <v>18</v>
      </c>
    </row>
    <row r="10" spans="1:6" ht="12.75">
      <c r="A10" s="2"/>
      <c r="B10" s="2"/>
      <c r="E10" s="6"/>
      <c r="F10" s="5"/>
    </row>
    <row r="12" spans="1:2" ht="12.75">
      <c r="A12" s="2" t="s">
        <v>20</v>
      </c>
      <c r="B12" s="2">
        <v>2</v>
      </c>
    </row>
    <row r="13" spans="1:11" ht="12.75">
      <c r="A13" s="6" t="s">
        <v>49</v>
      </c>
      <c r="B13" s="2">
        <v>10</v>
      </c>
      <c r="C13" t="s">
        <v>3</v>
      </c>
      <c r="E13" s="2" t="s">
        <v>43</v>
      </c>
      <c r="F13" s="5">
        <f>0.5*$B$12*100/B13</f>
        <v>10</v>
      </c>
      <c r="G13" t="s">
        <v>46</v>
      </c>
      <c r="I13" s="2" t="s">
        <v>22</v>
      </c>
      <c r="J13" s="3">
        <f>F13*0.9*$B$8*$J$6/1000</f>
        <v>128.52</v>
      </c>
      <c r="K13" t="s">
        <v>21</v>
      </c>
    </row>
    <row r="14" spans="1:11" ht="12.75">
      <c r="A14" s="6" t="s">
        <v>49</v>
      </c>
      <c r="B14" s="2">
        <v>15</v>
      </c>
      <c r="C14" t="s">
        <v>3</v>
      </c>
      <c r="E14" s="2" t="s">
        <v>43</v>
      </c>
      <c r="F14" s="5">
        <f>0.5*$B$12*100/B14</f>
        <v>6.666666666666667</v>
      </c>
      <c r="G14" t="s">
        <v>46</v>
      </c>
      <c r="I14" s="2" t="s">
        <v>22</v>
      </c>
      <c r="J14" s="3">
        <f>F14*0.9*$B$8*$J$6/1000</f>
        <v>85.68</v>
      </c>
      <c r="K14" t="s">
        <v>21</v>
      </c>
    </row>
    <row r="15" spans="1:11" ht="12.75">
      <c r="A15" s="6" t="s">
        <v>49</v>
      </c>
      <c r="B15" s="2">
        <v>20</v>
      </c>
      <c r="C15" t="s">
        <v>3</v>
      </c>
      <c r="E15" s="2" t="s">
        <v>43</v>
      </c>
      <c r="F15" s="5">
        <f>0.5*$B$12*100/B15</f>
        <v>5</v>
      </c>
      <c r="G15" t="s">
        <v>46</v>
      </c>
      <c r="I15" s="2" t="s">
        <v>22</v>
      </c>
      <c r="J15" s="3">
        <f>F15*0.9*$B$8*$J$6/1000</f>
        <v>64.26</v>
      </c>
      <c r="K15" t="s">
        <v>21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50</v>
      </c>
    </row>
    <row r="2" ht="12.75">
      <c r="A2" s="1" t="s">
        <v>51</v>
      </c>
    </row>
    <row r="5" spans="1:9" ht="12.75">
      <c r="A5" s="2" t="s">
        <v>2</v>
      </c>
      <c r="B5" s="2">
        <v>80</v>
      </c>
      <c r="C5" t="s">
        <v>3</v>
      </c>
      <c r="E5" s="2" t="s">
        <v>32</v>
      </c>
      <c r="F5" s="2">
        <v>25</v>
      </c>
      <c r="G5" t="s">
        <v>18</v>
      </c>
      <c r="I5" s="2" t="s">
        <v>44</v>
      </c>
    </row>
    <row r="6" spans="1:11" ht="12.75">
      <c r="A6" s="2" t="s">
        <v>6</v>
      </c>
      <c r="B6" s="2">
        <v>24</v>
      </c>
      <c r="C6" t="s">
        <v>3</v>
      </c>
      <c r="E6" s="2"/>
      <c r="F6" s="2"/>
      <c r="I6" s="6" t="s">
        <v>45</v>
      </c>
      <c r="J6" s="2">
        <v>255</v>
      </c>
      <c r="K6" s="8" t="s">
        <v>18</v>
      </c>
    </row>
    <row r="7" spans="1:7" ht="12.75">
      <c r="A7" s="2" t="s">
        <v>9</v>
      </c>
      <c r="B7" s="2">
        <v>4</v>
      </c>
      <c r="C7" t="s">
        <v>3</v>
      </c>
      <c r="E7" s="6" t="s">
        <v>33</v>
      </c>
      <c r="F7" s="2">
        <f>ROUND(0.4+($F$5-15)/75,2)</f>
        <v>0.53</v>
      </c>
      <c r="G7" t="s">
        <v>18</v>
      </c>
    </row>
    <row r="8" spans="1:7" ht="12.75">
      <c r="A8" s="2" t="s">
        <v>14</v>
      </c>
      <c r="B8" s="2">
        <f>B6-B7</f>
        <v>20</v>
      </c>
      <c r="C8" t="s">
        <v>3</v>
      </c>
      <c r="E8" s="6" t="s">
        <v>34</v>
      </c>
      <c r="F8" s="2">
        <f>ROUND(1.4+($F$5-15)/35,2)</f>
        <v>1.69</v>
      </c>
      <c r="G8" t="s">
        <v>18</v>
      </c>
    </row>
    <row r="10" spans="1:7" ht="12.75">
      <c r="A10" s="2" t="s">
        <v>22</v>
      </c>
      <c r="B10" s="2">
        <v>80</v>
      </c>
      <c r="C10" t="s">
        <v>21</v>
      </c>
      <c r="E10" s="6" t="s">
        <v>42</v>
      </c>
      <c r="F10" s="5">
        <f>B10/(0.9*B5*B8)*10</f>
        <v>0.5555555555555556</v>
      </c>
      <c r="G10" t="s">
        <v>18</v>
      </c>
    </row>
    <row r="12" spans="1:4" ht="12.75">
      <c r="A12" s="2" t="s">
        <v>52</v>
      </c>
      <c r="B12" s="2">
        <v>4</v>
      </c>
      <c r="C12" s="6" t="s">
        <v>53</v>
      </c>
      <c r="D12" s="2">
        <v>14</v>
      </c>
    </row>
    <row r="13" spans="1:11" ht="12.75">
      <c r="A13" s="2" t="s">
        <v>54</v>
      </c>
      <c r="B13" s="5">
        <f>B12*PI()*D12^2/400</f>
        <v>6.157521601035994</v>
      </c>
      <c r="C13" t="s">
        <v>46</v>
      </c>
      <c r="E13" s="2" t="s">
        <v>55</v>
      </c>
      <c r="F13" s="3">
        <f>B13*0.9*$B$8*$J$6/1000</f>
        <v>28.263024148755214</v>
      </c>
      <c r="G13" t="s">
        <v>21</v>
      </c>
      <c r="I13" s="6" t="s">
        <v>56</v>
      </c>
      <c r="J13" s="3">
        <f>B10-F13</f>
        <v>51.736975851244786</v>
      </c>
      <c r="K13" t="s">
        <v>21</v>
      </c>
    </row>
    <row r="15" spans="1:2" ht="12.75">
      <c r="A15" s="2" t="s">
        <v>20</v>
      </c>
      <c r="B15" s="2">
        <v>2</v>
      </c>
    </row>
    <row r="16" spans="1:3" ht="12.75">
      <c r="A16" s="2" t="s">
        <v>43</v>
      </c>
      <c r="B16" s="5">
        <f>MAX(0.4*B10,J13)/(0.9*B8*J6)*1000</f>
        <v>11.271672298746141</v>
      </c>
      <c r="C16" t="s">
        <v>46</v>
      </c>
    </row>
    <row r="17" spans="2:3" ht="12.75">
      <c r="B17" s="5">
        <f>B16/B15</f>
        <v>5.635836149373071</v>
      </c>
      <c r="C17" t="s">
        <v>46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58</v>
      </c>
    </row>
    <row r="2" ht="12.75">
      <c r="A2" s="1" t="s">
        <v>57</v>
      </c>
    </row>
    <row r="5" spans="1:7" ht="12.75">
      <c r="A5" s="2" t="s">
        <v>2</v>
      </c>
      <c r="B5" s="2">
        <v>30</v>
      </c>
      <c r="C5" t="s">
        <v>3</v>
      </c>
      <c r="E5" s="2" t="s">
        <v>32</v>
      </c>
      <c r="F5" s="2">
        <v>25</v>
      </c>
      <c r="G5" t="s">
        <v>18</v>
      </c>
    </row>
    <row r="6" spans="1:3" ht="12.75">
      <c r="A6" s="2" t="s">
        <v>6</v>
      </c>
      <c r="B6" s="2">
        <v>50</v>
      </c>
      <c r="C6" t="s">
        <v>3</v>
      </c>
    </row>
    <row r="7" spans="1:7" ht="12.75">
      <c r="A7" s="2" t="s">
        <v>9</v>
      </c>
      <c r="B7" s="2">
        <v>4</v>
      </c>
      <c r="C7" t="s">
        <v>3</v>
      </c>
      <c r="E7" s="2" t="s">
        <v>64</v>
      </c>
      <c r="F7" s="7">
        <f>0.7*0.27*F5^(2/3)</f>
        <v>1.615927269609478</v>
      </c>
      <c r="G7" t="s">
        <v>18</v>
      </c>
    </row>
    <row r="8" spans="1:7" ht="12.75">
      <c r="A8" s="2" t="s">
        <v>14</v>
      </c>
      <c r="B8" s="2">
        <f>B6-B7</f>
        <v>46</v>
      </c>
      <c r="C8" t="s">
        <v>3</v>
      </c>
      <c r="E8" s="2" t="s">
        <v>63</v>
      </c>
      <c r="F8" s="5">
        <f>F7/1.6</f>
        <v>1.0099545435059236</v>
      </c>
      <c r="G8" t="s">
        <v>18</v>
      </c>
    </row>
    <row r="9" spans="1:7" ht="12.75">
      <c r="A9" s="2" t="s">
        <v>59</v>
      </c>
      <c r="B9" s="2">
        <f>4*1.54</f>
        <v>6.16</v>
      </c>
      <c r="C9" t="s">
        <v>5</v>
      </c>
      <c r="E9" s="6" t="s">
        <v>65</v>
      </c>
      <c r="F9" s="2">
        <f>ROUND(0.25*F8,2)</f>
        <v>0.25</v>
      </c>
      <c r="G9" t="s">
        <v>18</v>
      </c>
    </row>
    <row r="11" spans="1:6" ht="12.75">
      <c r="A11" s="6" t="s">
        <v>60</v>
      </c>
      <c r="B11" s="9">
        <f>B9/B5/B8</f>
        <v>0.004463768115942029</v>
      </c>
      <c r="E11" s="10" t="s">
        <v>61</v>
      </c>
      <c r="F11" s="7">
        <f>MIN(2,1.2+40*B11)</f>
        <v>1.3785507246376811</v>
      </c>
    </row>
    <row r="12" spans="5:6" ht="12.75">
      <c r="E12" s="10" t="s">
        <v>62</v>
      </c>
      <c r="F12" s="7">
        <f>MAX(1,1.6-B8/100)</f>
        <v>1.1400000000000001</v>
      </c>
    </row>
    <row r="14" spans="1:3" ht="12.75">
      <c r="A14" s="2" t="s">
        <v>66</v>
      </c>
      <c r="B14" s="3">
        <f>F9*F12*F11*B5*B8/10</f>
        <v>54.21840000000001</v>
      </c>
      <c r="C14" t="s">
        <v>21</v>
      </c>
    </row>
    <row r="15" spans="1:2" ht="12.75">
      <c r="A15" s="2"/>
      <c r="B15" s="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Capitolo 11 - esempi</dc:title>
  <dc:subject/>
  <dc:creator>Aurelio Ghersi</dc:creator>
  <cp:keywords/>
  <dc:description/>
  <cp:lastModifiedBy>Aurelio Ghersi</cp:lastModifiedBy>
  <dcterms:created xsi:type="dcterms:W3CDTF">2004-12-10T07:46:29Z</dcterms:created>
  <dcterms:modified xsi:type="dcterms:W3CDTF">2005-02-10T13:27:43Z</dcterms:modified>
  <cp:category/>
  <cp:version/>
  <cp:contentType/>
  <cp:contentStatus/>
</cp:coreProperties>
</file>