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  <sheet name="Es 6" sheetId="7" r:id="rId7"/>
  </sheets>
  <definedNames/>
  <calcPr fullCalcOnLoad="1"/>
</workbook>
</file>

<file path=xl/sharedStrings.xml><?xml version="1.0" encoding="utf-8"?>
<sst xmlns="http://schemas.openxmlformats.org/spreadsheetml/2006/main" count="275" uniqueCount="97">
  <si>
    <t>b</t>
  </si>
  <si>
    <t>cm</t>
  </si>
  <si>
    <t>A</t>
  </si>
  <si>
    <t>cm2</t>
  </si>
  <si>
    <t>h</t>
  </si>
  <si>
    <t>cm3</t>
  </si>
  <si>
    <t>c</t>
  </si>
  <si>
    <t>dGinf</t>
  </si>
  <si>
    <t>As</t>
  </si>
  <si>
    <t>dGsup</t>
  </si>
  <si>
    <t>A's</t>
  </si>
  <si>
    <t>d</t>
  </si>
  <si>
    <t>I</t>
  </si>
  <si>
    <t>cm4</t>
  </si>
  <si>
    <t>Es</t>
  </si>
  <si>
    <t>MPa</t>
  </si>
  <si>
    <t>sig c,sup</t>
  </si>
  <si>
    <t>Ec</t>
  </si>
  <si>
    <t>sig c,inf</t>
  </si>
  <si>
    <t>n</t>
  </si>
  <si>
    <t>sig s,sup</t>
  </si>
  <si>
    <t>M</t>
  </si>
  <si>
    <t>kNm</t>
  </si>
  <si>
    <t>sig s,inf</t>
  </si>
  <si>
    <t>fcfk</t>
  </si>
  <si>
    <t>x</t>
  </si>
  <si>
    <r>
      <t>e</t>
    </r>
    <r>
      <rPr>
        <sz val="10"/>
        <rFont val="Arial"/>
        <family val="0"/>
      </rPr>
      <t>s</t>
    </r>
  </si>
  <si>
    <t>k</t>
  </si>
  <si>
    <t>Questo foglio di lavoro è stato utilizzato per risolvere tutti gli esempi proposti</t>
  </si>
  <si>
    <t>Ssup</t>
  </si>
  <si>
    <t>nel capitolo relativo agli stati limite di esercizio (edizione 2005)</t>
  </si>
  <si>
    <t>Esempio 1</t>
  </si>
  <si>
    <t>Sezione rettangolare - ampiezza delle fessure</t>
  </si>
  <si>
    <r>
      <t>r</t>
    </r>
    <r>
      <rPr>
        <sz val="10"/>
        <rFont val="Arial"/>
        <family val="0"/>
      </rPr>
      <t>r</t>
    </r>
  </si>
  <si>
    <t>Act,eff</t>
  </si>
  <si>
    <t>k1</t>
  </si>
  <si>
    <t>k2</t>
  </si>
  <si>
    <t>srm</t>
  </si>
  <si>
    <t>mm</t>
  </si>
  <si>
    <t>Æ</t>
  </si>
  <si>
    <t>stima di</t>
  </si>
  <si>
    <r>
      <t>e</t>
    </r>
    <r>
      <rPr>
        <sz val="10"/>
        <rFont val="Arial"/>
        <family val="0"/>
      </rPr>
      <t>sm</t>
    </r>
  </si>
  <si>
    <r>
      <t>b</t>
    </r>
    <r>
      <rPr>
        <sz val="10"/>
        <rFont val="Arial"/>
        <family val="0"/>
      </rPr>
      <t>1</t>
    </r>
  </si>
  <si>
    <r>
      <t>b</t>
    </r>
    <r>
      <rPr>
        <sz val="10"/>
        <rFont val="Arial"/>
        <family val="0"/>
      </rPr>
      <t>2</t>
    </r>
  </si>
  <si>
    <t>b1 b2 …</t>
  </si>
  <si>
    <t>wm</t>
  </si>
  <si>
    <t>wk</t>
  </si>
  <si>
    <t>calcolo esatto delle tensioni</t>
  </si>
  <si>
    <t>kc</t>
  </si>
  <si>
    <t>fyk</t>
  </si>
  <si>
    <t>Esempio 2</t>
  </si>
  <si>
    <t>Esempio 3</t>
  </si>
  <si>
    <t>Verifica indiretta delle inflessioni di una trave a spessore</t>
  </si>
  <si>
    <r>
      <t>n</t>
    </r>
    <r>
      <rPr>
        <sz val="10"/>
        <rFont val="Symbol"/>
        <family val="1"/>
      </rPr>
      <t>Æ</t>
    </r>
    <r>
      <rPr>
        <sz val="10"/>
        <rFont val="Arial"/>
        <family val="0"/>
      </rPr>
      <t>20</t>
    </r>
  </si>
  <si>
    <t>r</t>
  </si>
  <si>
    <r>
      <t>r</t>
    </r>
    <r>
      <rPr>
        <sz val="10"/>
        <rFont val="Arial"/>
        <family val="0"/>
      </rPr>
      <t xml:space="preserve"> po s</t>
    </r>
  </si>
  <si>
    <r>
      <t>r</t>
    </r>
    <r>
      <rPr>
        <sz val="10"/>
        <rFont val="Arial"/>
        <family val="0"/>
      </rPr>
      <t xml:space="preserve"> mo s</t>
    </r>
  </si>
  <si>
    <t>L/d</t>
  </si>
  <si>
    <t>L</t>
  </si>
  <si>
    <t>m</t>
  </si>
  <si>
    <r>
      <t>d</t>
    </r>
    <r>
      <rPr>
        <sz val="8"/>
        <rFont val="Arial"/>
        <family val="2"/>
      </rPr>
      <t>nec</t>
    </r>
  </si>
  <si>
    <t>Esempio 4</t>
  </si>
  <si>
    <t>Verifica delle inflessioni di una trave a spessore (secondo appendice 4)</t>
  </si>
  <si>
    <t>q</t>
  </si>
  <si>
    <t>kN/m</t>
  </si>
  <si>
    <t>f</t>
  </si>
  <si>
    <t>Ec,eff</t>
  </si>
  <si>
    <r>
      <t xml:space="preserve">f </t>
    </r>
    <r>
      <rPr>
        <sz val="8"/>
        <rFont val="Arial"/>
        <family val="2"/>
      </rPr>
      <t>II</t>
    </r>
  </si>
  <si>
    <t>fmax</t>
  </si>
  <si>
    <r>
      <t xml:space="preserve">I </t>
    </r>
    <r>
      <rPr>
        <sz val="8"/>
        <rFont val="Arial"/>
        <family val="2"/>
      </rPr>
      <t>II</t>
    </r>
  </si>
  <si>
    <r>
      <t xml:space="preserve">I </t>
    </r>
    <r>
      <rPr>
        <sz val="8"/>
        <rFont val="Arial"/>
        <family val="2"/>
      </rPr>
      <t>I</t>
    </r>
  </si>
  <si>
    <r>
      <t xml:space="preserve">f </t>
    </r>
    <r>
      <rPr>
        <sz val="8"/>
        <rFont val="Arial"/>
        <family val="2"/>
      </rPr>
      <t>I</t>
    </r>
  </si>
  <si>
    <t>Mr</t>
  </si>
  <si>
    <t>z</t>
  </si>
  <si>
    <r>
      <t xml:space="preserve">I </t>
    </r>
    <r>
      <rPr>
        <sz val="8"/>
        <rFont val="Arial"/>
        <family val="2"/>
      </rPr>
      <t>(n=7)</t>
    </r>
  </si>
  <si>
    <t>fctm</t>
  </si>
  <si>
    <r>
      <t>M</t>
    </r>
    <r>
      <rPr>
        <sz val="8"/>
        <rFont val="Arial"/>
        <family val="2"/>
      </rPr>
      <t>medio</t>
    </r>
  </si>
  <si>
    <t>Esempio 5</t>
  </si>
  <si>
    <t>Verifica delle tensioni in esercizio - trave a semplice armatura</t>
  </si>
  <si>
    <t>Rck</t>
  </si>
  <si>
    <t>fck</t>
  </si>
  <si>
    <t>F</t>
  </si>
  <si>
    <t>FeB44k</t>
  </si>
  <si>
    <r>
      <t>M</t>
    </r>
    <r>
      <rPr>
        <sz val="8"/>
        <rFont val="Arial"/>
        <family val="2"/>
      </rPr>
      <t>q.perm.</t>
    </r>
  </si>
  <si>
    <r>
      <t>M</t>
    </r>
    <r>
      <rPr>
        <sz val="8"/>
        <rFont val="Arial"/>
        <family val="2"/>
      </rPr>
      <t>rara</t>
    </r>
  </si>
  <si>
    <r>
      <t>s</t>
    </r>
    <r>
      <rPr>
        <sz val="10"/>
        <rFont val="Arial"/>
        <family val="0"/>
      </rPr>
      <t>c</t>
    </r>
  </si>
  <si>
    <r>
      <t>s</t>
    </r>
    <r>
      <rPr>
        <sz val="10"/>
        <rFont val="Arial"/>
        <family val="0"/>
      </rPr>
      <t>s</t>
    </r>
  </si>
  <si>
    <t>rara</t>
  </si>
  <si>
    <t>0.6 fck</t>
  </si>
  <si>
    <t>0.5 fck</t>
  </si>
  <si>
    <t>0.7 fyk</t>
  </si>
  <si>
    <t>q.perm.</t>
  </si>
  <si>
    <t>0.45 fck</t>
  </si>
  <si>
    <t>0.4 fck</t>
  </si>
  <si>
    <t>Esempio 6</t>
  </si>
  <si>
    <t>Verifica delle tensioni in esercizio - trave a doppia armatura</t>
  </si>
  <si>
    <t>Sezione rettangolare - controllo della fessurazione senza calcolo diretto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</si>
</sst>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1"/>
      <name val="Symbol"/>
      <family val="1"/>
    </font>
    <font>
      <sz val="8"/>
      <name val="Arial"/>
      <family val="2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28</v>
      </c>
    </row>
    <row r="3" ht="12.75">
      <c r="A3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K2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31</v>
      </c>
    </row>
    <row r="2" ht="12.75">
      <c r="A2" s="1" t="s">
        <v>32</v>
      </c>
    </row>
    <row r="5" spans="1:7" ht="12.75">
      <c r="A5" s="2" t="s">
        <v>0</v>
      </c>
      <c r="B5" s="2">
        <v>30</v>
      </c>
      <c r="C5" t="s">
        <v>1</v>
      </c>
      <c r="E5" s="2" t="s">
        <v>2</v>
      </c>
      <c r="F5" s="3">
        <f>B5*B6+B14*(B8+B9)</f>
        <v>1609.7928</v>
      </c>
      <c r="G5" t="s">
        <v>3</v>
      </c>
    </row>
    <row r="6" spans="1:7" ht="12.75">
      <c r="A6" s="2" t="s">
        <v>4</v>
      </c>
      <c r="B6" s="2">
        <v>50</v>
      </c>
      <c r="C6" t="s">
        <v>1</v>
      </c>
      <c r="E6" s="2" t="s">
        <v>29</v>
      </c>
      <c r="F6" s="4">
        <f>B5*B6^2/2+B14*(B8*B10+B9*B7)</f>
        <v>41642.361600000004</v>
      </c>
      <c r="G6" t="s">
        <v>5</v>
      </c>
    </row>
    <row r="7" spans="1:9" ht="12.75">
      <c r="A7" s="2" t="s">
        <v>6</v>
      </c>
      <c r="B7" s="2">
        <v>4</v>
      </c>
      <c r="C7" t="s">
        <v>1</v>
      </c>
      <c r="E7" s="2" t="s">
        <v>9</v>
      </c>
      <c r="F7" s="5">
        <f>F6/F5</f>
        <v>25.868149987998457</v>
      </c>
      <c r="G7" t="s">
        <v>1</v>
      </c>
      <c r="H7" s="2"/>
      <c r="I7" s="4" t="s">
        <v>40</v>
      </c>
    </row>
    <row r="8" spans="1:11" ht="12.75">
      <c r="A8" s="2" t="s">
        <v>8</v>
      </c>
      <c r="B8" s="2">
        <v>12.56</v>
      </c>
      <c r="C8" t="s">
        <v>3</v>
      </c>
      <c r="E8" s="2" t="s">
        <v>7</v>
      </c>
      <c r="F8" s="5">
        <f>B6-F7</f>
        <v>24.131850012001543</v>
      </c>
      <c r="G8" t="s">
        <v>1</v>
      </c>
      <c r="H8" s="2"/>
      <c r="I8" s="2" t="s">
        <v>23</v>
      </c>
      <c r="J8" s="3">
        <f>B16*10/(0.9*B10/100*B8)</f>
        <v>173.08224868457492</v>
      </c>
      <c r="K8" t="s">
        <v>15</v>
      </c>
    </row>
    <row r="9" spans="1:3" ht="12.75">
      <c r="A9" s="2" t="s">
        <v>10</v>
      </c>
      <c r="B9" s="2">
        <v>3.08</v>
      </c>
      <c r="C9" t="s">
        <v>3</v>
      </c>
    </row>
    <row r="10" spans="1:7" ht="12.75">
      <c r="A10" s="2" t="s">
        <v>11</v>
      </c>
      <c r="B10" s="2">
        <f>B6-B7</f>
        <v>46</v>
      </c>
      <c r="C10" t="s">
        <v>1</v>
      </c>
      <c r="E10" s="2" t="s">
        <v>12</v>
      </c>
      <c r="F10" s="3">
        <f>B5*(F8^3+F7^3)/3+B14*(B9*(F7-B7)^2+B8*(F8-B7)^2)</f>
        <v>359705.3490767327</v>
      </c>
      <c r="G10" t="s">
        <v>13</v>
      </c>
    </row>
    <row r="11" ht="12.75">
      <c r="I11" t="s">
        <v>47</v>
      </c>
    </row>
    <row r="12" spans="1:10" ht="12.75">
      <c r="A12" s="2" t="s">
        <v>14</v>
      </c>
      <c r="B12" s="2">
        <v>200000</v>
      </c>
      <c r="C12" t="s">
        <v>15</v>
      </c>
      <c r="E12" s="2" t="s">
        <v>16</v>
      </c>
      <c r="F12" s="5">
        <f>-$B$16/$F$10*F7*1000</f>
        <v>-6.472334939960042</v>
      </c>
      <c r="G12" t="s">
        <v>15</v>
      </c>
      <c r="I12" s="2" t="s">
        <v>19</v>
      </c>
      <c r="J12" s="2">
        <v>15</v>
      </c>
    </row>
    <row r="13" spans="1:11" ht="12.75">
      <c r="A13" s="2" t="s">
        <v>17</v>
      </c>
      <c r="B13" s="2">
        <v>28500</v>
      </c>
      <c r="C13" t="s">
        <v>15</v>
      </c>
      <c r="E13" s="2" t="s">
        <v>18</v>
      </c>
      <c r="F13" s="5">
        <f>-$B$16/$F$10*(-F8)*1000</f>
        <v>6.037904375497163</v>
      </c>
      <c r="G13" t="s">
        <v>15</v>
      </c>
      <c r="I13" s="2" t="s">
        <v>25</v>
      </c>
      <c r="J13" s="5">
        <f>J12*(B8+B9)/B5*(-1+SQRT(1+2*B5*(B8*B10+B9*B7)/J12/(B8+B9)^2))</f>
        <v>17.69925547503297</v>
      </c>
      <c r="K13" t="s">
        <v>1</v>
      </c>
    </row>
    <row r="14" spans="1:11" ht="12.75">
      <c r="A14" s="2" t="s">
        <v>19</v>
      </c>
      <c r="B14" s="2">
        <f>ROUND(B12/B13,2)</f>
        <v>7.02</v>
      </c>
      <c r="I14" s="2" t="s">
        <v>12</v>
      </c>
      <c r="J14" s="4">
        <f>$B$5*J13^3/3+J12*($B$9*(J13-$B$7)^2+$B$8*($B$10-J13)^2)</f>
        <v>215011.28357562286</v>
      </c>
      <c r="K14" t="s">
        <v>13</v>
      </c>
    </row>
    <row r="15" spans="5:11" ht="12.75">
      <c r="E15" s="2" t="s">
        <v>20</v>
      </c>
      <c r="F15" s="3">
        <f>-$B$16/$F$10*(F7-$B$7)*1000*$B$14</f>
        <v>-38.41004087895873</v>
      </c>
      <c r="G15" t="s">
        <v>15</v>
      </c>
      <c r="I15" s="2" t="s">
        <v>16</v>
      </c>
      <c r="J15" s="5">
        <f>-$B$16/J14*J13*1000</f>
        <v>-7.408601847598885</v>
      </c>
      <c r="K15" t="s">
        <v>15</v>
      </c>
    </row>
    <row r="16" spans="1:11" ht="12.75">
      <c r="A16" s="2" t="s">
        <v>21</v>
      </c>
      <c r="B16" s="2">
        <v>90</v>
      </c>
      <c r="C16" t="s">
        <v>22</v>
      </c>
      <c r="E16" s="2" t="s">
        <v>23</v>
      </c>
      <c r="F16" s="3">
        <f>-$B$16/$F$10*(-F8+$B$7)*1000*$B$14</f>
        <v>35.36033831642932</v>
      </c>
      <c r="G16" t="s">
        <v>15</v>
      </c>
      <c r="I16" s="2" t="s">
        <v>20</v>
      </c>
      <c r="J16" s="3">
        <f>-$B$16/J14*(J13-$B$7)*1000*J12</f>
        <v>-86.01406672124665</v>
      </c>
      <c r="K16" t="s">
        <v>15</v>
      </c>
    </row>
    <row r="17" spans="9:11" ht="12.75">
      <c r="I17" s="2" t="s">
        <v>23</v>
      </c>
      <c r="J17" s="3">
        <f>-$B$16/J14*(J13-$B$10)*1000*J12</f>
        <v>177.69302370248786</v>
      </c>
      <c r="K17" t="s">
        <v>15</v>
      </c>
    </row>
    <row r="18" spans="1:7" ht="12.75">
      <c r="A18" s="2" t="s">
        <v>24</v>
      </c>
      <c r="B18" s="2">
        <v>1.94</v>
      </c>
      <c r="C18" t="s">
        <v>15</v>
      </c>
      <c r="E18" s="2" t="s">
        <v>72</v>
      </c>
      <c r="F18" s="3">
        <f>B16*B18/F13</f>
        <v>28.91731785428009</v>
      </c>
      <c r="G18" t="s">
        <v>22</v>
      </c>
    </row>
    <row r="20" spans="1:11" ht="15">
      <c r="A20" s="2" t="s">
        <v>34</v>
      </c>
      <c r="B20" s="2">
        <f>B5*2.5*B7</f>
        <v>300</v>
      </c>
      <c r="C20" t="s">
        <v>3</v>
      </c>
      <c r="E20" s="2" t="s">
        <v>35</v>
      </c>
      <c r="F20" s="2">
        <v>0.8</v>
      </c>
      <c r="I20" s="9" t="s">
        <v>39</v>
      </c>
      <c r="J20" s="2">
        <v>20</v>
      </c>
      <c r="K20" t="s">
        <v>38</v>
      </c>
    </row>
    <row r="21" spans="1:11" ht="12.75">
      <c r="A21" s="8" t="s">
        <v>33</v>
      </c>
      <c r="B21" s="6">
        <f>B8/B20</f>
        <v>0.04186666666666667</v>
      </c>
      <c r="E21" s="2" t="s">
        <v>36</v>
      </c>
      <c r="F21" s="2">
        <v>0.5</v>
      </c>
      <c r="I21" s="2" t="s">
        <v>37</v>
      </c>
      <c r="J21" s="3">
        <f>50+0.25*F20*F21*J20/B21</f>
        <v>97.77070063694268</v>
      </c>
      <c r="K21" t="s">
        <v>38</v>
      </c>
    </row>
    <row r="23" spans="1:10" ht="12.75">
      <c r="A23" s="8" t="s">
        <v>42</v>
      </c>
      <c r="B23" s="2">
        <v>1</v>
      </c>
      <c r="E23" s="8" t="s">
        <v>26</v>
      </c>
      <c r="F23" s="2">
        <f>J17/B12</f>
        <v>0.0008884651185124393</v>
      </c>
      <c r="I23" s="2" t="s">
        <v>44</v>
      </c>
      <c r="J23" s="7">
        <f>B23*B24*(F18/B16)^2</f>
        <v>0.051617979746016424</v>
      </c>
    </row>
    <row r="24" spans="1:10" ht="12.75">
      <c r="A24" s="8" t="s">
        <v>43</v>
      </c>
      <c r="B24" s="2">
        <v>0.5</v>
      </c>
      <c r="E24" s="8" t="s">
        <v>41</v>
      </c>
      <c r="F24" s="2">
        <f>F23*(1-J23)</f>
        <v>0.000842604344020022</v>
      </c>
      <c r="I24" s="2"/>
      <c r="J24" s="7"/>
    </row>
    <row r="26" spans="1:7" ht="12.75">
      <c r="A26" s="2" t="s">
        <v>45</v>
      </c>
      <c r="B26" s="7">
        <f>J21*F24</f>
        <v>0.08238201707456903</v>
      </c>
      <c r="C26" t="s">
        <v>38</v>
      </c>
      <c r="E26" s="2" t="s">
        <v>46</v>
      </c>
      <c r="F26" s="7">
        <f>1.7*B26</f>
        <v>0.14004942902676734</v>
      </c>
      <c r="G26" t="s">
        <v>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50</v>
      </c>
    </row>
    <row r="2" ht="12.75">
      <c r="A2" s="1" t="s">
        <v>96</v>
      </c>
    </row>
    <row r="5" spans="1:7" ht="12.75">
      <c r="A5" s="2" t="s">
        <v>0</v>
      </c>
      <c r="B5" s="2">
        <v>30</v>
      </c>
      <c r="C5" t="s">
        <v>1</v>
      </c>
      <c r="E5" s="2" t="s">
        <v>49</v>
      </c>
      <c r="F5" s="2">
        <v>430</v>
      </c>
      <c r="G5" t="s">
        <v>15</v>
      </c>
    </row>
    <row r="6" spans="1:6" ht="12.75">
      <c r="A6" s="2" t="s">
        <v>4</v>
      </c>
      <c r="B6" s="2">
        <v>50</v>
      </c>
      <c r="C6" t="s">
        <v>1</v>
      </c>
      <c r="E6" s="2"/>
      <c r="F6" s="2"/>
    </row>
    <row r="7" spans="1:3" ht="12.75">
      <c r="A7" s="2" t="s">
        <v>6</v>
      </c>
      <c r="B7" s="2">
        <v>4</v>
      </c>
      <c r="C7" t="s">
        <v>1</v>
      </c>
    </row>
    <row r="8" spans="1:3" ht="12.75">
      <c r="A8" s="2" t="s">
        <v>8</v>
      </c>
      <c r="B8" s="2">
        <v>12.56</v>
      </c>
      <c r="C8" t="s">
        <v>3</v>
      </c>
    </row>
    <row r="9" spans="1:3" ht="12.75">
      <c r="A9" s="2" t="s">
        <v>10</v>
      </c>
      <c r="B9" s="2">
        <v>3.08</v>
      </c>
      <c r="C9" t="s">
        <v>3</v>
      </c>
    </row>
    <row r="10" spans="1:3" ht="12.75">
      <c r="A10" s="2" t="s">
        <v>11</v>
      </c>
      <c r="B10" s="2">
        <f>B6-B7</f>
        <v>46</v>
      </c>
      <c r="C10" t="s">
        <v>1</v>
      </c>
    </row>
    <row r="12" spans="1:3" ht="12.75">
      <c r="A12" s="2" t="s">
        <v>14</v>
      </c>
      <c r="B12" s="2">
        <v>200000</v>
      </c>
      <c r="C12" t="s">
        <v>15</v>
      </c>
    </row>
    <row r="13" spans="1:3" ht="12.75">
      <c r="A13" s="2" t="s">
        <v>17</v>
      </c>
      <c r="B13" s="2">
        <v>28500</v>
      </c>
      <c r="C13" t="s">
        <v>15</v>
      </c>
    </row>
    <row r="15" spans="1:6" ht="12.75">
      <c r="A15" s="2" t="s">
        <v>48</v>
      </c>
      <c r="B15" s="2">
        <v>1</v>
      </c>
      <c r="E15" s="2" t="s">
        <v>8</v>
      </c>
      <c r="F15" s="5">
        <f>B15*B16*B17*3/(0.9*F5)</f>
        <v>2.3255813953488373</v>
      </c>
    </row>
    <row r="16" spans="1:2" ht="12.75">
      <c r="A16" s="2" t="s">
        <v>27</v>
      </c>
      <c r="B16" s="2">
        <v>0.4</v>
      </c>
    </row>
    <row r="17" spans="1:2" ht="12.75">
      <c r="A17" s="2" t="s">
        <v>34</v>
      </c>
      <c r="B17" s="2">
        <f>B5*B6/2</f>
        <v>750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51</v>
      </c>
    </row>
    <row r="2" ht="12.75">
      <c r="A2" s="1" t="s">
        <v>52</v>
      </c>
    </row>
    <row r="5" spans="1:7" ht="12.75">
      <c r="A5" s="2" t="s">
        <v>0</v>
      </c>
      <c r="B5" s="2">
        <v>70</v>
      </c>
      <c r="C5" t="s">
        <v>1</v>
      </c>
      <c r="E5" s="2" t="s">
        <v>58</v>
      </c>
      <c r="F5" s="5">
        <v>5.2</v>
      </c>
      <c r="G5" t="s">
        <v>59</v>
      </c>
    </row>
    <row r="6" spans="1:6" ht="12.75">
      <c r="A6" s="2" t="s">
        <v>4</v>
      </c>
      <c r="B6" s="2">
        <v>24</v>
      </c>
      <c r="C6" t="s">
        <v>1</v>
      </c>
      <c r="E6" s="2" t="s">
        <v>57</v>
      </c>
      <c r="F6" s="2">
        <f>F5*100/B8</f>
        <v>26</v>
      </c>
    </row>
    <row r="7" spans="1:3" ht="12.75">
      <c r="A7" s="2" t="s">
        <v>6</v>
      </c>
      <c r="B7" s="2">
        <v>4</v>
      </c>
      <c r="C7" t="s">
        <v>1</v>
      </c>
    </row>
    <row r="8" spans="1:3" ht="12.75">
      <c r="A8" s="2" t="s">
        <v>11</v>
      </c>
      <c r="B8" s="2">
        <f>B6-B7</f>
        <v>20</v>
      </c>
      <c r="C8" t="s">
        <v>1</v>
      </c>
    </row>
    <row r="9" spans="1:2" ht="12.75">
      <c r="A9" s="2" t="s">
        <v>53</v>
      </c>
      <c r="B9" s="2">
        <v>6</v>
      </c>
    </row>
    <row r="10" spans="1:3" ht="12.75">
      <c r="A10" s="2" t="s">
        <v>8</v>
      </c>
      <c r="B10" s="5">
        <f>B9*PI()</f>
        <v>18.84955592153876</v>
      </c>
      <c r="C10" t="s">
        <v>3</v>
      </c>
    </row>
    <row r="11" spans="1:4" ht="12.75">
      <c r="A11" s="8" t="s">
        <v>55</v>
      </c>
      <c r="B11" s="2">
        <v>0.005</v>
      </c>
      <c r="C11" s="2" t="s">
        <v>57</v>
      </c>
      <c r="D11" s="2">
        <v>32</v>
      </c>
    </row>
    <row r="12" spans="1:4" ht="12.75">
      <c r="A12" s="8" t="s">
        <v>56</v>
      </c>
      <c r="B12" s="2">
        <v>0.015</v>
      </c>
      <c r="C12" s="2" t="s">
        <v>57</v>
      </c>
      <c r="D12" s="2">
        <v>23</v>
      </c>
    </row>
    <row r="13" spans="1:7" ht="12.75">
      <c r="A13" s="8" t="s">
        <v>54</v>
      </c>
      <c r="B13" s="6">
        <f>B10/B5/B8</f>
        <v>0.013463968515384828</v>
      </c>
      <c r="C13" s="2" t="s">
        <v>57</v>
      </c>
      <c r="D13" s="3">
        <f>D11+(D12-D11)*(B13-B11)/(B12-B11)</f>
        <v>24.38242833615365</v>
      </c>
      <c r="E13" s="2" t="s">
        <v>60</v>
      </c>
      <c r="F13" s="3">
        <f>F5*100/D13</f>
        <v>21.32683393265457</v>
      </c>
      <c r="G13" t="s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61</v>
      </c>
    </row>
    <row r="2" ht="12.75">
      <c r="A2" s="1" t="s">
        <v>62</v>
      </c>
    </row>
    <row r="5" spans="1:10" ht="12.75">
      <c r="A5" s="2" t="s">
        <v>0</v>
      </c>
      <c r="B5" s="2">
        <v>70</v>
      </c>
      <c r="C5" t="s">
        <v>1</v>
      </c>
      <c r="E5" s="2" t="s">
        <v>58</v>
      </c>
      <c r="F5" s="5">
        <v>5.2</v>
      </c>
      <c r="G5" t="s">
        <v>59</v>
      </c>
      <c r="H5" s="2" t="s">
        <v>68</v>
      </c>
      <c r="I5" s="2">
        <f>F5*1000/250</f>
        <v>20.8</v>
      </c>
      <c r="J5" s="2" t="s">
        <v>38</v>
      </c>
    </row>
    <row r="6" spans="1:7" ht="12.75">
      <c r="A6" s="2" t="s">
        <v>4</v>
      </c>
      <c r="B6" s="2">
        <v>24</v>
      </c>
      <c r="C6" t="s">
        <v>1</v>
      </c>
      <c r="E6" s="2" t="s">
        <v>63</v>
      </c>
      <c r="F6" s="2">
        <v>18</v>
      </c>
      <c r="G6" t="s">
        <v>64</v>
      </c>
    </row>
    <row r="7" spans="1:6" ht="15">
      <c r="A7" s="2" t="s">
        <v>6</v>
      </c>
      <c r="B7" s="2">
        <v>4</v>
      </c>
      <c r="C7" t="s">
        <v>1</v>
      </c>
      <c r="E7" s="9" t="s">
        <v>65</v>
      </c>
      <c r="F7" s="2">
        <v>2.95</v>
      </c>
    </row>
    <row r="8" spans="1:3" ht="12.75">
      <c r="A8" s="2" t="s">
        <v>11</v>
      </c>
      <c r="B8" s="2">
        <f>B6-B7</f>
        <v>20</v>
      </c>
      <c r="C8" t="s">
        <v>1</v>
      </c>
    </row>
    <row r="9" spans="1:10" ht="12.75">
      <c r="A9" s="2" t="s">
        <v>53</v>
      </c>
      <c r="B9" s="2">
        <v>6</v>
      </c>
      <c r="E9" s="2" t="s">
        <v>19</v>
      </c>
      <c r="F9" s="2">
        <v>15</v>
      </c>
      <c r="H9" s="2" t="s">
        <v>75</v>
      </c>
      <c r="I9" s="2">
        <v>2.31</v>
      </c>
      <c r="J9" t="s">
        <v>15</v>
      </c>
    </row>
    <row r="10" spans="1:7" ht="12.75">
      <c r="A10" s="2" t="s">
        <v>8</v>
      </c>
      <c r="B10" s="5">
        <f>B9*PI()</f>
        <v>18.84955592153876</v>
      </c>
      <c r="C10" t="s">
        <v>3</v>
      </c>
      <c r="E10" s="2" t="s">
        <v>17</v>
      </c>
      <c r="F10" s="2">
        <v>28500</v>
      </c>
      <c r="G10" t="s">
        <v>15</v>
      </c>
    </row>
    <row r="11" spans="1:6" ht="12.75">
      <c r="A11" s="2" t="s">
        <v>10</v>
      </c>
      <c r="B11" s="5">
        <f>B10</f>
        <v>18.84955592153876</v>
      </c>
      <c r="C11" t="s">
        <v>3</v>
      </c>
      <c r="E11" s="2" t="s">
        <v>19</v>
      </c>
      <c r="F11" s="5">
        <f>200000/F10</f>
        <v>7.017543859649122</v>
      </c>
    </row>
    <row r="12" spans="1:7" ht="12.75">
      <c r="A12" s="2" t="s">
        <v>25</v>
      </c>
      <c r="B12" s="5">
        <f>F9*(B10+B11)/B5*(-1+SQRT(1+2*B5*(B10*B8+B11*B7)/F9/(B10+B11)^2))</f>
        <v>8.019487941283835</v>
      </c>
      <c r="C12" t="s">
        <v>1</v>
      </c>
      <c r="E12" s="2" t="s">
        <v>66</v>
      </c>
      <c r="F12" s="3">
        <f>F10/(1+F7)</f>
        <v>7215.189873417721</v>
      </c>
      <c r="G12" t="s">
        <v>15</v>
      </c>
    </row>
    <row r="13" spans="1:7" ht="12.75">
      <c r="A13" s="2" t="s">
        <v>69</v>
      </c>
      <c r="B13" s="4">
        <f>B5*B12^3/3+F9*(B11*(B12-B7)^2+B10*(B8-B12)^2)</f>
        <v>57185.17309580595</v>
      </c>
      <c r="C13" t="s">
        <v>13</v>
      </c>
      <c r="E13" s="2" t="s">
        <v>67</v>
      </c>
      <c r="F13" s="5">
        <f>$F$6*$F$5^4/(185*$F$12*B13)*10^8</f>
        <v>17.241813646597155</v>
      </c>
      <c r="G13" t="s">
        <v>38</v>
      </c>
    </row>
    <row r="14" spans="1:7" ht="12.75">
      <c r="A14" s="2" t="s">
        <v>70</v>
      </c>
      <c r="B14" s="4">
        <f>B5*B6^3/12+F9*2*B10*(B6/2-B7)^2</f>
        <v>116831.14736935441</v>
      </c>
      <c r="C14" t="s">
        <v>13</v>
      </c>
      <c r="E14" s="2" t="s">
        <v>71</v>
      </c>
      <c r="F14" s="5">
        <f>$F$6*$F$5^4/(185*$F$12*B14)*10^8</f>
        <v>8.439325642751632</v>
      </c>
      <c r="G14" t="s">
        <v>38</v>
      </c>
    </row>
    <row r="15" spans="1:3" ht="12.75">
      <c r="A15" s="2" t="s">
        <v>74</v>
      </c>
      <c r="B15" s="4">
        <f>B5*B6^3/12+F11*2*B10*(B6/2-B7)^2</f>
        <v>97571.5309330313</v>
      </c>
      <c r="C15" t="s">
        <v>13</v>
      </c>
    </row>
    <row r="16" spans="1:3" ht="12.75">
      <c r="A16" s="2" t="s">
        <v>72</v>
      </c>
      <c r="B16" s="5">
        <f>2*I9*B15/B6/1000</f>
        <v>18.782519704608525</v>
      </c>
      <c r="C16" t="s">
        <v>22</v>
      </c>
    </row>
    <row r="17" spans="1:3" ht="12.75">
      <c r="A17" s="2" t="s">
        <v>21</v>
      </c>
      <c r="B17" s="2">
        <f>F6*F5^2/8</f>
        <v>60.84</v>
      </c>
      <c r="C17" t="s">
        <v>22</v>
      </c>
    </row>
    <row r="18" spans="1:3" ht="12.75">
      <c r="A18" s="2" t="s">
        <v>76</v>
      </c>
      <c r="B18" s="2">
        <f>B17/2</f>
        <v>30.42</v>
      </c>
      <c r="C18" t="s">
        <v>22</v>
      </c>
    </row>
    <row r="19" spans="1:2" ht="12.75">
      <c r="A19" s="8" t="s">
        <v>42</v>
      </c>
      <c r="B19" s="2">
        <v>1</v>
      </c>
    </row>
    <row r="20" spans="1:2" ht="12.75">
      <c r="A20" s="8" t="s">
        <v>43</v>
      </c>
      <c r="B20" s="2">
        <v>0.5</v>
      </c>
    </row>
    <row r="21" spans="1:7" ht="12.75">
      <c r="A21" s="8" t="s">
        <v>73</v>
      </c>
      <c r="B21" s="7">
        <f>1-B19*B20*(B16/B18)^2</f>
        <v>0.8093840266220278</v>
      </c>
      <c r="E21" s="2" t="s">
        <v>65</v>
      </c>
      <c r="F21" s="5">
        <f>B21*F13+(1-B21)*F14</f>
        <v>15.563918827596217</v>
      </c>
      <c r="G21" t="s">
        <v>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77</v>
      </c>
    </row>
    <row r="2" ht="12.75">
      <c r="A2" s="1" t="s">
        <v>78</v>
      </c>
    </row>
    <row r="5" spans="1:9" ht="12.75">
      <c r="A5" s="2" t="s">
        <v>0</v>
      </c>
      <c r="B5" s="2">
        <v>30</v>
      </c>
      <c r="C5" t="s">
        <v>1</v>
      </c>
      <c r="E5" s="2" t="s">
        <v>79</v>
      </c>
      <c r="F5" s="2">
        <v>25</v>
      </c>
      <c r="G5" t="s">
        <v>81</v>
      </c>
      <c r="I5" t="s">
        <v>87</v>
      </c>
    </row>
    <row r="6" spans="1:11" ht="12.75">
      <c r="A6" s="2" t="s">
        <v>4</v>
      </c>
      <c r="B6" s="2">
        <v>60</v>
      </c>
      <c r="C6" t="s">
        <v>1</v>
      </c>
      <c r="E6" s="2" t="s">
        <v>80</v>
      </c>
      <c r="F6" s="2">
        <f>0.83*F5</f>
        <v>20.75</v>
      </c>
      <c r="G6" t="s">
        <v>15</v>
      </c>
      <c r="I6" s="10" t="s">
        <v>88</v>
      </c>
      <c r="J6" s="11">
        <f>0.6*F6</f>
        <v>12.45</v>
      </c>
      <c r="K6" s="12" t="s">
        <v>15</v>
      </c>
    </row>
    <row r="7" spans="1:11" ht="12.75">
      <c r="A7" s="2" t="s">
        <v>6</v>
      </c>
      <c r="B7" s="2">
        <v>4</v>
      </c>
      <c r="C7" t="s">
        <v>1</v>
      </c>
      <c r="E7" s="2" t="s">
        <v>82</v>
      </c>
      <c r="I7" s="2" t="s">
        <v>89</v>
      </c>
      <c r="J7" s="5">
        <f>0.5*F6</f>
        <v>10.375</v>
      </c>
      <c r="K7" t="s">
        <v>15</v>
      </c>
    </row>
    <row r="8" spans="1:11" ht="12.75">
      <c r="A8" s="2" t="s">
        <v>11</v>
      </c>
      <c r="B8" s="2">
        <f>B6-B7</f>
        <v>56</v>
      </c>
      <c r="C8" t="s">
        <v>1</v>
      </c>
      <c r="E8" s="2" t="s">
        <v>49</v>
      </c>
      <c r="F8" s="2">
        <f>IF(E7="FeB44k",430,375)</f>
        <v>430</v>
      </c>
      <c r="G8" t="s">
        <v>15</v>
      </c>
      <c r="I8" s="2" t="s">
        <v>90</v>
      </c>
      <c r="J8" s="2">
        <f>0.7*F8</f>
        <v>301</v>
      </c>
      <c r="K8" t="s">
        <v>15</v>
      </c>
    </row>
    <row r="9" spans="1:10" ht="12.75">
      <c r="A9" s="2" t="s">
        <v>10</v>
      </c>
      <c r="B9" s="2">
        <f>2*1.54</f>
        <v>3.08</v>
      </c>
      <c r="C9" t="s">
        <v>3</v>
      </c>
      <c r="E9" s="2" t="s">
        <v>19</v>
      </c>
      <c r="F9" s="2">
        <v>15</v>
      </c>
      <c r="I9" s="13" t="s">
        <v>91</v>
      </c>
      <c r="J9" s="2"/>
    </row>
    <row r="10" spans="1:11" ht="12.75">
      <c r="A10" s="2" t="s">
        <v>8</v>
      </c>
      <c r="B10" s="2">
        <f>4*3.14</f>
        <v>12.56</v>
      </c>
      <c r="C10" t="s">
        <v>3</v>
      </c>
      <c r="I10" s="10" t="s">
        <v>92</v>
      </c>
      <c r="J10" s="11">
        <f>0.45*F6</f>
        <v>9.3375</v>
      </c>
      <c r="K10" s="12" t="s">
        <v>15</v>
      </c>
    </row>
    <row r="11" spans="1:11" ht="12.75">
      <c r="A11" s="2" t="s">
        <v>84</v>
      </c>
      <c r="B11" s="2">
        <v>150</v>
      </c>
      <c r="C11" t="s">
        <v>22</v>
      </c>
      <c r="E11" s="2" t="s">
        <v>83</v>
      </c>
      <c r="F11" s="2">
        <v>120</v>
      </c>
      <c r="G11" t="s">
        <v>22</v>
      </c>
      <c r="I11" s="2" t="s">
        <v>93</v>
      </c>
      <c r="J11" s="5">
        <f>0.4*F6</f>
        <v>8.3</v>
      </c>
      <c r="K11" t="s">
        <v>15</v>
      </c>
    </row>
    <row r="13" spans="1:3" ht="12.75">
      <c r="A13" s="2" t="s">
        <v>25</v>
      </c>
      <c r="B13" s="5">
        <f>F9*(B9+B10)/B5*(-1+SQRT(1+2*B5*(B10*B8+B9*B7)/F9/(B9+B10)^2))</f>
        <v>20.051713259145018</v>
      </c>
      <c r="C13" t="s">
        <v>1</v>
      </c>
    </row>
    <row r="14" spans="1:3" ht="12.75">
      <c r="A14" s="2" t="s">
        <v>12</v>
      </c>
      <c r="B14" s="4">
        <f>B5*B13^3/3+F9*(B9*(B13-B7)^2+B10*(B8-B13)^2)</f>
        <v>335991.3652957312</v>
      </c>
      <c r="C14" t="s">
        <v>13</v>
      </c>
    </row>
    <row r="15" spans="1:8" ht="12.75">
      <c r="A15" s="8" t="s">
        <v>85</v>
      </c>
      <c r="B15" s="5">
        <f>B11/$B$14*$B$13*1000</f>
        <v>8.951887755283236</v>
      </c>
      <c r="C15" t="s">
        <v>15</v>
      </c>
      <c r="D15" t="str">
        <f>IF(B15&lt;=J7,"ok","no")</f>
        <v>ok</v>
      </c>
      <c r="E15" s="8" t="s">
        <v>85</v>
      </c>
      <c r="F15" s="5">
        <f>F11/$B$14*$B$13*1000</f>
        <v>7.161510204226588</v>
      </c>
      <c r="G15" t="s">
        <v>15</v>
      </c>
      <c r="H15" t="str">
        <f>IF(F15&lt;=J11,"ok","no")</f>
        <v>ok</v>
      </c>
    </row>
    <row r="16" spans="1:6" ht="12.75">
      <c r="A16" s="8" t="s">
        <v>86</v>
      </c>
      <c r="B16" s="3">
        <f>B11/$B$14*($B$8-$B$13)*$F$9*1000</f>
        <v>240.73132086514173</v>
      </c>
      <c r="C16" t="s">
        <v>15</v>
      </c>
      <c r="D16" t="str">
        <f>IF(B16&lt;=J8,"ok","no")</f>
        <v>ok</v>
      </c>
      <c r="E16" s="8"/>
      <c r="F16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94</v>
      </c>
    </row>
    <row r="2" ht="12.75">
      <c r="A2" s="1" t="s">
        <v>95</v>
      </c>
    </row>
    <row r="5" spans="1:9" ht="12.75">
      <c r="A5" s="2" t="s">
        <v>0</v>
      </c>
      <c r="B5" s="2">
        <v>30</v>
      </c>
      <c r="C5" t="s">
        <v>1</v>
      </c>
      <c r="E5" s="2" t="s">
        <v>79</v>
      </c>
      <c r="F5" s="2">
        <v>25</v>
      </c>
      <c r="G5" t="s">
        <v>81</v>
      </c>
      <c r="I5" t="s">
        <v>87</v>
      </c>
    </row>
    <row r="6" spans="1:11" ht="12.75">
      <c r="A6" s="2" t="s">
        <v>4</v>
      </c>
      <c r="B6" s="2">
        <v>50</v>
      </c>
      <c r="C6" t="s">
        <v>1</v>
      </c>
      <c r="E6" s="2" t="s">
        <v>80</v>
      </c>
      <c r="F6" s="2">
        <f>0.83*F5</f>
        <v>20.75</v>
      </c>
      <c r="G6" t="s">
        <v>15</v>
      </c>
      <c r="I6" s="10" t="s">
        <v>88</v>
      </c>
      <c r="J6" s="11">
        <f>0.6*F6</f>
        <v>12.45</v>
      </c>
      <c r="K6" s="12" t="s">
        <v>15</v>
      </c>
    </row>
    <row r="7" spans="1:11" ht="12.75">
      <c r="A7" s="2" t="s">
        <v>6</v>
      </c>
      <c r="B7" s="2">
        <v>4</v>
      </c>
      <c r="C7" t="s">
        <v>1</v>
      </c>
      <c r="E7" s="2" t="s">
        <v>82</v>
      </c>
      <c r="I7" s="2" t="s">
        <v>89</v>
      </c>
      <c r="J7" s="5">
        <f>0.5*F6</f>
        <v>10.375</v>
      </c>
      <c r="K7" t="s">
        <v>15</v>
      </c>
    </row>
    <row r="8" spans="1:11" ht="12.75">
      <c r="A8" s="2" t="s">
        <v>11</v>
      </c>
      <c r="B8" s="2">
        <f>B6-B7</f>
        <v>46</v>
      </c>
      <c r="C8" t="s">
        <v>1</v>
      </c>
      <c r="E8" s="2" t="s">
        <v>49</v>
      </c>
      <c r="F8" s="2">
        <f>IF(E7="FeB44k",430,375)</f>
        <v>430</v>
      </c>
      <c r="G8" t="s">
        <v>15</v>
      </c>
      <c r="I8" s="2" t="s">
        <v>90</v>
      </c>
      <c r="J8" s="2">
        <f>0.7*F8</f>
        <v>301</v>
      </c>
      <c r="K8" t="s">
        <v>15</v>
      </c>
    </row>
    <row r="9" spans="1:10" ht="12.75">
      <c r="A9" s="2" t="s">
        <v>10</v>
      </c>
      <c r="B9" s="2">
        <f>4*1.54</f>
        <v>6.16</v>
      </c>
      <c r="C9" t="s">
        <v>3</v>
      </c>
      <c r="E9" s="2" t="s">
        <v>19</v>
      </c>
      <c r="F9" s="2">
        <v>15</v>
      </c>
      <c r="I9" s="13" t="s">
        <v>91</v>
      </c>
      <c r="J9" s="2"/>
    </row>
    <row r="10" spans="1:11" ht="12.75">
      <c r="A10" s="2" t="s">
        <v>8</v>
      </c>
      <c r="B10" s="2">
        <f>5*3.14</f>
        <v>15.700000000000001</v>
      </c>
      <c r="C10" t="s">
        <v>3</v>
      </c>
      <c r="I10" s="10" t="s">
        <v>92</v>
      </c>
      <c r="J10" s="11">
        <f>0.45*F6</f>
        <v>9.3375</v>
      </c>
      <c r="K10" s="12" t="s">
        <v>15</v>
      </c>
    </row>
    <row r="11" spans="1:11" ht="12.75">
      <c r="A11" s="2" t="s">
        <v>84</v>
      </c>
      <c r="B11" s="2">
        <v>150</v>
      </c>
      <c r="C11" t="s">
        <v>22</v>
      </c>
      <c r="E11" s="2" t="s">
        <v>83</v>
      </c>
      <c r="F11" s="2">
        <v>120</v>
      </c>
      <c r="G11" t="s">
        <v>22</v>
      </c>
      <c r="I11" s="2" t="s">
        <v>93</v>
      </c>
      <c r="J11" s="5">
        <f>0.4*F6</f>
        <v>8.3</v>
      </c>
      <c r="K11" t="s">
        <v>15</v>
      </c>
    </row>
    <row r="13" spans="1:3" ht="12.75">
      <c r="A13" s="2" t="s">
        <v>25</v>
      </c>
      <c r="B13" s="5">
        <f>F9*(B9+B10)/B5*(-1+SQRT(1+2*B5*(B10*B8+B9*B7)/F9/(B9+B10)^2))</f>
        <v>18.50305794510655</v>
      </c>
      <c r="C13" t="s">
        <v>1</v>
      </c>
    </row>
    <row r="14" spans="1:3" ht="12.75">
      <c r="A14" s="2" t="s">
        <v>12</v>
      </c>
      <c r="B14" s="4">
        <f>B5*B13^3/3+F9*(B9*(B13-B7)^2+B10*(B8-B13)^2)</f>
        <v>260840.21674340524</v>
      </c>
      <c r="C14" t="s">
        <v>13</v>
      </c>
    </row>
    <row r="15" spans="1:8" ht="12.75">
      <c r="A15" s="8" t="s">
        <v>85</v>
      </c>
      <c r="B15" s="5">
        <f>B11/$B$14*$B$13*1000</f>
        <v>10.640455396095103</v>
      </c>
      <c r="C15" t="s">
        <v>15</v>
      </c>
      <c r="D15" t="str">
        <f>IF(B15&lt;=J7,"ok","no")</f>
        <v>no</v>
      </c>
      <c r="E15" s="8" t="s">
        <v>85</v>
      </c>
      <c r="F15" s="5">
        <f>F11/$B$14*$B$13*1000</f>
        <v>8.512364316876083</v>
      </c>
      <c r="G15" t="s">
        <v>15</v>
      </c>
      <c r="H15" t="str">
        <f>IF(F15&lt;=J11,"ok","no")</f>
        <v>no</v>
      </c>
    </row>
    <row r="16" spans="1:6" ht="12.75">
      <c r="A16" s="8" t="s">
        <v>86</v>
      </c>
      <c r="B16" s="3">
        <f>B11/$B$14*($B$8-$B$13)*$F$9*1000</f>
        <v>237.18780944110088</v>
      </c>
      <c r="C16" t="s">
        <v>15</v>
      </c>
      <c r="D16" t="str">
        <f>IF(B16&lt;=J8,"ok","no")</f>
        <v>ok</v>
      </c>
      <c r="E16" s="8"/>
      <c r="F1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14 - esempi</dc:title>
  <dc:subject/>
  <dc:creator>Aurelio Ghersi</dc:creator>
  <cp:keywords/>
  <dc:description/>
  <cp:lastModifiedBy>Aurelio Ghersi</cp:lastModifiedBy>
  <dcterms:created xsi:type="dcterms:W3CDTF">2002-02-16T12:18:26Z</dcterms:created>
  <dcterms:modified xsi:type="dcterms:W3CDTF">2005-02-19T09:01:27Z</dcterms:modified>
  <cp:category/>
  <cp:version/>
  <cp:contentType/>
  <cp:contentStatus/>
</cp:coreProperties>
</file>