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05D51374-4E0C-4A80-8404-AA8FF74E0562}" xr6:coauthVersionLast="47" xr6:coauthVersionMax="47" xr10:uidLastSave="{00000000-0000-0000-0000-000000000000}"/>
  <bookViews>
    <workbookView xWindow="-98" yWindow="-98" windowWidth="20715" windowHeight="13276" tabRatio="791" xr2:uid="{00000000-000D-0000-FFFF-FFFF00000000}"/>
  </bookViews>
  <sheets>
    <sheet name="Spiegazioni" sheetId="5" r:id="rId1"/>
    <sheet name="Spettri x" sheetId="12" r:id="rId2"/>
    <sheet name="Spettri y" sheetId="13" r:id="rId3"/>
    <sheet name="Geom e masse" sheetId="1" r:id="rId4"/>
    <sheet name="Forze" sheetId="3" r:id="rId5"/>
    <sheet name="CarSoll" sheetId="6" r:id="rId6"/>
    <sheet name="Travi" sheetId="7" r:id="rId7"/>
    <sheet name="Pilastri" sheetId="8" r:id="rId8"/>
    <sheet name="Riepilogo sezioni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6" i="3" l="1"/>
  <c r="I47" i="3"/>
  <c r="I48" i="3"/>
  <c r="I49" i="3"/>
  <c r="I50" i="3"/>
  <c r="I51" i="3"/>
  <c r="I52" i="3"/>
  <c r="I53" i="3"/>
  <c r="M24" i="3"/>
  <c r="M23" i="3"/>
  <c r="O22" i="1"/>
  <c r="O21" i="1"/>
  <c r="B29" i="13"/>
  <c r="B29" i="12"/>
  <c r="H1" i="3" l="1"/>
  <c r="M1" i="3"/>
  <c r="E36" i="3" s="1"/>
  <c r="M1" i="6"/>
  <c r="B13" i="12"/>
  <c r="E37" i="3" l="1"/>
  <c r="E31" i="3"/>
  <c r="I31" i="3" s="1"/>
  <c r="E33" i="3"/>
  <c r="E32" i="3"/>
  <c r="E34" i="3"/>
  <c r="E35" i="3"/>
  <c r="E38" i="3"/>
  <c r="D15" i="3"/>
  <c r="I1" i="3"/>
  <c r="C15" i="3"/>
  <c r="E15" i="3"/>
  <c r="A14" i="3"/>
  <c r="F14" i="3"/>
  <c r="C18" i="3"/>
  <c r="C14" i="3"/>
  <c r="E14" i="3"/>
  <c r="BE15" i="13"/>
  <c r="BE15" i="12"/>
  <c r="A26" i="12"/>
  <c r="B23" i="12"/>
  <c r="E14" i="13"/>
  <c r="H14" i="13" s="1"/>
  <c r="B12" i="13"/>
  <c r="C12" i="13" s="1"/>
  <c r="B14" i="13"/>
  <c r="AB5" i="13" s="1"/>
  <c r="B13" i="13"/>
  <c r="AH33" i="13" s="1"/>
  <c r="B8" i="13"/>
  <c r="AB39" i="13" s="1"/>
  <c r="C8" i="13"/>
  <c r="AD39" i="13" s="1"/>
  <c r="D8" i="13"/>
  <c r="E8" i="13"/>
  <c r="B9" i="13"/>
  <c r="AA47" i="13" s="1"/>
  <c r="C9" i="13"/>
  <c r="D9" i="13"/>
  <c r="E9" i="13"/>
  <c r="AE47" i="13" s="1"/>
  <c r="AE48" i="13" s="1"/>
  <c r="B10" i="13"/>
  <c r="AA41" i="13" s="1"/>
  <c r="C10" i="13"/>
  <c r="AD41" i="13" s="1"/>
  <c r="D10" i="13"/>
  <c r="AC47" i="13" s="1"/>
  <c r="AC48" i="13" s="1"/>
  <c r="E10" i="13"/>
  <c r="E7" i="13"/>
  <c r="D7" i="13"/>
  <c r="C7" i="13"/>
  <c r="B7" i="13"/>
  <c r="B3" i="13"/>
  <c r="AY140" i="13"/>
  <c r="AQ140" i="13"/>
  <c r="BC140" i="13" s="1"/>
  <c r="AM140" i="13"/>
  <c r="AU140" i="13" s="1"/>
  <c r="AL135" i="13"/>
  <c r="BI88" i="13"/>
  <c r="BI89" i="13" s="1"/>
  <c r="BI90" i="13" s="1"/>
  <c r="BI91" i="13" s="1"/>
  <c r="BI92" i="13" s="1"/>
  <c r="BI93" i="13" s="1"/>
  <c r="BI94" i="13" s="1"/>
  <c r="BI95" i="13" s="1"/>
  <c r="BI96" i="13" s="1"/>
  <c r="BI97" i="13" s="1"/>
  <c r="BI98" i="13" s="1"/>
  <c r="BI99" i="13" s="1"/>
  <c r="BI100" i="13" s="1"/>
  <c r="BI101" i="13" s="1"/>
  <c r="BI102" i="13" s="1"/>
  <c r="BI103" i="13" s="1"/>
  <c r="BI84" i="13"/>
  <c r="BI85" i="13" s="1"/>
  <c r="BI86" i="13" s="1"/>
  <c r="BI87" i="13" s="1"/>
  <c r="BG84" i="13"/>
  <c r="BG85" i="13" s="1"/>
  <c r="BG86" i="13" s="1"/>
  <c r="BG87" i="13" s="1"/>
  <c r="BG88" i="13" s="1"/>
  <c r="BG89" i="13" s="1"/>
  <c r="BG90" i="13" s="1"/>
  <c r="BG91" i="13" s="1"/>
  <c r="BG92" i="13" s="1"/>
  <c r="BG93" i="13" s="1"/>
  <c r="BG94" i="13" s="1"/>
  <c r="BG95" i="13" s="1"/>
  <c r="BG96" i="13" s="1"/>
  <c r="BG97" i="13" s="1"/>
  <c r="BG98" i="13" s="1"/>
  <c r="BG99" i="13" s="1"/>
  <c r="BG100" i="13" s="1"/>
  <c r="BG101" i="13" s="1"/>
  <c r="BG102" i="13" s="1"/>
  <c r="BG103" i="13" s="1"/>
  <c r="BI67" i="13"/>
  <c r="BI68" i="13" s="1"/>
  <c r="BI69" i="13" s="1"/>
  <c r="BI70" i="13" s="1"/>
  <c r="BI71" i="13" s="1"/>
  <c r="BI72" i="13" s="1"/>
  <c r="BI73" i="13" s="1"/>
  <c r="BI74" i="13" s="1"/>
  <c r="BI75" i="13" s="1"/>
  <c r="BI76" i="13" s="1"/>
  <c r="BI77" i="13" s="1"/>
  <c r="BI78" i="13" s="1"/>
  <c r="BI79" i="13" s="1"/>
  <c r="BI80" i="13" s="1"/>
  <c r="BI81" i="13" s="1"/>
  <c r="BI82" i="13" s="1"/>
  <c r="BI64" i="13"/>
  <c r="BI65" i="13" s="1"/>
  <c r="BI66" i="13" s="1"/>
  <c r="BG64" i="13"/>
  <c r="BG65" i="13" s="1"/>
  <c r="BG66" i="13" s="1"/>
  <c r="BG67" i="13" s="1"/>
  <c r="BG68" i="13" s="1"/>
  <c r="BG69" i="13" s="1"/>
  <c r="BG70" i="13" s="1"/>
  <c r="BG71" i="13" s="1"/>
  <c r="BG72" i="13" s="1"/>
  <c r="BG73" i="13" s="1"/>
  <c r="BG74" i="13" s="1"/>
  <c r="BG75" i="13" s="1"/>
  <c r="BG76" i="13" s="1"/>
  <c r="BG77" i="13" s="1"/>
  <c r="BG78" i="13" s="1"/>
  <c r="BG79" i="13" s="1"/>
  <c r="BG80" i="13" s="1"/>
  <c r="BG81" i="13" s="1"/>
  <c r="BG82" i="13" s="1"/>
  <c r="BI63" i="13"/>
  <c r="BI83" i="13" s="1"/>
  <c r="BG63" i="13"/>
  <c r="BG83" i="13" s="1"/>
  <c r="AA48" i="13"/>
  <c r="AC46" i="13"/>
  <c r="AA46" i="13"/>
  <c r="AE45" i="13"/>
  <c r="AC45" i="13"/>
  <c r="AA45" i="13"/>
  <c r="AB41" i="13"/>
  <c r="AD40" i="13"/>
  <c r="AB40" i="13"/>
  <c r="AA40" i="13"/>
  <c r="AA39" i="13"/>
  <c r="AD38" i="13"/>
  <c r="AB38" i="13"/>
  <c r="AA38" i="13"/>
  <c r="BG23" i="13"/>
  <c r="BG24" i="13" s="1"/>
  <c r="BG25" i="13" s="1"/>
  <c r="BG26" i="13" s="1"/>
  <c r="BG27" i="13" s="1"/>
  <c r="BG28" i="13" s="1"/>
  <c r="BG29" i="13" s="1"/>
  <c r="BG30" i="13" s="1"/>
  <c r="BG31" i="13" s="1"/>
  <c r="BG32" i="13" s="1"/>
  <c r="BG33" i="13" s="1"/>
  <c r="BG34" i="13" s="1"/>
  <c r="BG35" i="13" s="1"/>
  <c r="BG36" i="13" s="1"/>
  <c r="BG37" i="13" s="1"/>
  <c r="BG38" i="13" s="1"/>
  <c r="BG39" i="13" s="1"/>
  <c r="BG40" i="13" s="1"/>
  <c r="BG41" i="13" s="1"/>
  <c r="BI22" i="13"/>
  <c r="BG22" i="13"/>
  <c r="BG42" i="13" s="1"/>
  <c r="BG43" i="13" s="1"/>
  <c r="BG44" i="13" s="1"/>
  <c r="BG45" i="13" s="1"/>
  <c r="BG46" i="13" s="1"/>
  <c r="BG47" i="13" s="1"/>
  <c r="BG48" i="13" s="1"/>
  <c r="BG49" i="13" s="1"/>
  <c r="BG50" i="13" s="1"/>
  <c r="BG51" i="13" s="1"/>
  <c r="BG52" i="13" s="1"/>
  <c r="BG53" i="13" s="1"/>
  <c r="BG54" i="13" s="1"/>
  <c r="BG55" i="13" s="1"/>
  <c r="BG56" i="13" s="1"/>
  <c r="BG57" i="13" s="1"/>
  <c r="BG58" i="13" s="1"/>
  <c r="BG59" i="13" s="1"/>
  <c r="BG60" i="13" s="1"/>
  <c r="BG61" i="13" s="1"/>
  <c r="BG62" i="13" s="1"/>
  <c r="BG21" i="13"/>
  <c r="BG20" i="13"/>
  <c r="G20" i="13"/>
  <c r="BA5" i="13" s="1"/>
  <c r="AY130" i="13" s="1"/>
  <c r="G19" i="13"/>
  <c r="AW5" i="13" s="1"/>
  <c r="AU130" i="13" s="1"/>
  <c r="BI18" i="13"/>
  <c r="BI17" i="13" s="1"/>
  <c r="BG18" i="13"/>
  <c r="BG19" i="13" s="1"/>
  <c r="G18" i="13"/>
  <c r="AS5" i="13" s="1"/>
  <c r="AQ130" i="13" s="1"/>
  <c r="BG17" i="13"/>
  <c r="G17" i="13"/>
  <c r="AO5" i="13" s="1"/>
  <c r="AM130" i="13" s="1"/>
  <c r="BI16" i="13"/>
  <c r="BG16" i="13"/>
  <c r="BE16" i="13"/>
  <c r="AY16" i="13"/>
  <c r="AU16" i="13"/>
  <c r="AQ16" i="13"/>
  <c r="AM16" i="13"/>
  <c r="BC15" i="13"/>
  <c r="BC16" i="13" s="1"/>
  <c r="C14" i="13"/>
  <c r="BJ10" i="13"/>
  <c r="BH10" i="13"/>
  <c r="BA8" i="13"/>
  <c r="AW8" i="13"/>
  <c r="AS8" i="13"/>
  <c r="AO8" i="13"/>
  <c r="F5" i="13"/>
  <c r="AE3" i="13"/>
  <c r="AD3" i="13"/>
  <c r="BJ1" i="13"/>
  <c r="BJ15" i="13" s="1"/>
  <c r="BH1" i="13"/>
  <c r="BH15" i="13" s="1"/>
  <c r="AU140" i="12"/>
  <c r="AM140" i="12"/>
  <c r="AL135" i="12"/>
  <c r="BG88" i="12"/>
  <c r="BG89" i="12" s="1"/>
  <c r="BG90" i="12" s="1"/>
  <c r="BG91" i="12" s="1"/>
  <c r="BG92" i="12" s="1"/>
  <c r="BG93" i="12" s="1"/>
  <c r="BG94" i="12" s="1"/>
  <c r="BG95" i="12" s="1"/>
  <c r="BG96" i="12" s="1"/>
  <c r="BG97" i="12" s="1"/>
  <c r="BG98" i="12" s="1"/>
  <c r="BG99" i="12" s="1"/>
  <c r="BG100" i="12" s="1"/>
  <c r="BG101" i="12" s="1"/>
  <c r="BG102" i="12" s="1"/>
  <c r="BG103" i="12" s="1"/>
  <c r="BI83" i="12"/>
  <c r="BI84" i="12" s="1"/>
  <c r="BI85" i="12" s="1"/>
  <c r="BI86" i="12" s="1"/>
  <c r="BI87" i="12" s="1"/>
  <c r="BI88" i="12" s="1"/>
  <c r="BI89" i="12" s="1"/>
  <c r="BI90" i="12" s="1"/>
  <c r="BI91" i="12" s="1"/>
  <c r="BI92" i="12" s="1"/>
  <c r="BI93" i="12" s="1"/>
  <c r="BI94" i="12" s="1"/>
  <c r="BI95" i="12" s="1"/>
  <c r="BI96" i="12" s="1"/>
  <c r="BI97" i="12" s="1"/>
  <c r="BI98" i="12" s="1"/>
  <c r="BI99" i="12" s="1"/>
  <c r="BI100" i="12" s="1"/>
  <c r="BI101" i="12" s="1"/>
  <c r="BI102" i="12" s="1"/>
  <c r="BI103" i="12" s="1"/>
  <c r="BI63" i="12"/>
  <c r="BI64" i="12" s="1"/>
  <c r="BI65" i="12" s="1"/>
  <c r="BI66" i="12" s="1"/>
  <c r="BI67" i="12" s="1"/>
  <c r="BI68" i="12" s="1"/>
  <c r="BI69" i="12" s="1"/>
  <c r="BI70" i="12" s="1"/>
  <c r="BI71" i="12" s="1"/>
  <c r="BI72" i="12" s="1"/>
  <c r="BI73" i="12" s="1"/>
  <c r="BI74" i="12" s="1"/>
  <c r="BI75" i="12" s="1"/>
  <c r="BI76" i="12" s="1"/>
  <c r="BI77" i="12" s="1"/>
  <c r="BI78" i="12" s="1"/>
  <c r="BI79" i="12" s="1"/>
  <c r="BI80" i="12" s="1"/>
  <c r="BI81" i="12" s="1"/>
  <c r="BI82" i="12" s="1"/>
  <c r="BG63" i="12"/>
  <c r="BG83" i="12" s="1"/>
  <c r="BG84" i="12" s="1"/>
  <c r="BG85" i="12" s="1"/>
  <c r="BG86" i="12" s="1"/>
  <c r="BG87" i="12" s="1"/>
  <c r="AA48" i="12"/>
  <c r="AB47" i="12" s="1"/>
  <c r="AB48" i="12" s="1"/>
  <c r="AF47" i="12"/>
  <c r="AE47" i="12"/>
  <c r="AE48" i="12" s="1"/>
  <c r="AC47" i="12"/>
  <c r="AC48" i="12" s="1"/>
  <c r="AA47" i="12"/>
  <c r="AE46" i="12"/>
  <c r="AC46" i="12"/>
  <c r="AB46" i="12"/>
  <c r="AA46" i="12"/>
  <c r="AB45" i="12" s="1"/>
  <c r="AD45" i="12" s="1"/>
  <c r="AE45" i="12"/>
  <c r="AF45" i="12" s="1"/>
  <c r="AC45" i="12"/>
  <c r="AA45" i="12"/>
  <c r="BI43" i="12"/>
  <c r="BI44" i="12" s="1"/>
  <c r="BI45" i="12" s="1"/>
  <c r="BI46" i="12" s="1"/>
  <c r="BI47" i="12" s="1"/>
  <c r="BI48" i="12" s="1"/>
  <c r="BI49" i="12" s="1"/>
  <c r="BI50" i="12" s="1"/>
  <c r="BI51" i="12" s="1"/>
  <c r="BI52" i="12" s="1"/>
  <c r="BI53" i="12" s="1"/>
  <c r="BI54" i="12" s="1"/>
  <c r="BI55" i="12" s="1"/>
  <c r="BI56" i="12" s="1"/>
  <c r="BI57" i="12" s="1"/>
  <c r="BI58" i="12" s="1"/>
  <c r="BI59" i="12" s="1"/>
  <c r="BI60" i="12" s="1"/>
  <c r="BI61" i="12" s="1"/>
  <c r="BI62" i="12" s="1"/>
  <c r="AD41" i="12"/>
  <c r="AB41" i="12"/>
  <c r="AA41" i="12"/>
  <c r="AE40" i="12"/>
  <c r="AE41" i="12" s="1"/>
  <c r="AD40" i="12"/>
  <c r="AB40" i="12"/>
  <c r="AA40" i="12"/>
  <c r="BI39" i="12"/>
  <c r="BI40" i="12" s="1"/>
  <c r="BI41" i="12" s="1"/>
  <c r="AE39" i="12"/>
  <c r="AD39" i="12"/>
  <c r="AE38" i="12" s="1"/>
  <c r="AB39" i="12"/>
  <c r="AA39" i="12"/>
  <c r="AD38" i="12"/>
  <c r="AC38" i="12"/>
  <c r="AB38" i="12"/>
  <c r="AA38" i="12"/>
  <c r="AK34" i="12"/>
  <c r="AZ37" i="12" s="1"/>
  <c r="AJ34" i="12"/>
  <c r="AV42" i="12" s="1"/>
  <c r="AI34" i="12"/>
  <c r="AR37" i="12" s="1"/>
  <c r="AH34" i="12"/>
  <c r="AN27" i="12" s="1"/>
  <c r="AK33" i="12"/>
  <c r="AJ33" i="12"/>
  <c r="AI33" i="12"/>
  <c r="AH33" i="12"/>
  <c r="BI23" i="12"/>
  <c r="BI24" i="12" s="1"/>
  <c r="BI25" i="12" s="1"/>
  <c r="BI26" i="12" s="1"/>
  <c r="BI27" i="12" s="1"/>
  <c r="BI28" i="12" s="1"/>
  <c r="BI29" i="12" s="1"/>
  <c r="BI30" i="12" s="1"/>
  <c r="BI31" i="12" s="1"/>
  <c r="BI32" i="12" s="1"/>
  <c r="BI33" i="12" s="1"/>
  <c r="BI34" i="12" s="1"/>
  <c r="BI35" i="12" s="1"/>
  <c r="BI36" i="12" s="1"/>
  <c r="BI37" i="12" s="1"/>
  <c r="BI38" i="12" s="1"/>
  <c r="BI22" i="12"/>
  <c r="BI42" i="12" s="1"/>
  <c r="BG22" i="12"/>
  <c r="BG42" i="12" s="1"/>
  <c r="G20" i="12"/>
  <c r="BA5" i="12" s="1"/>
  <c r="AY130" i="12" s="1"/>
  <c r="BI19" i="12"/>
  <c r="BI20" i="12" s="1"/>
  <c r="BI21" i="12" s="1"/>
  <c r="G19" i="12"/>
  <c r="AW5" i="12" s="1"/>
  <c r="AU130" i="12" s="1"/>
  <c r="BI18" i="12"/>
  <c r="BG18" i="12"/>
  <c r="BG19" i="12" s="1"/>
  <c r="BG20" i="12" s="1"/>
  <c r="BG21" i="12" s="1"/>
  <c r="G18" i="12"/>
  <c r="AS5" i="12" s="1"/>
  <c r="AQ130" i="12" s="1"/>
  <c r="BI17" i="12"/>
  <c r="BG17" i="12"/>
  <c r="G17" i="12"/>
  <c r="BJ16" i="12"/>
  <c r="BI16" i="12"/>
  <c r="BG16" i="12"/>
  <c r="BC16" i="12"/>
  <c r="AY16" i="12"/>
  <c r="AU16" i="12"/>
  <c r="AQ16" i="12"/>
  <c r="AM16" i="12"/>
  <c r="BH15" i="12"/>
  <c r="BH16" i="12" s="1"/>
  <c r="BC15" i="12"/>
  <c r="H14" i="12"/>
  <c r="F7" i="12" s="1"/>
  <c r="AB26" i="12" s="1"/>
  <c r="C14" i="12"/>
  <c r="C13" i="12"/>
  <c r="F12" i="12"/>
  <c r="C12" i="12"/>
  <c r="AA11" i="12"/>
  <c r="BJ10" i="12"/>
  <c r="BH10" i="12"/>
  <c r="AA10" i="12"/>
  <c r="BA8" i="12"/>
  <c r="AW8" i="12"/>
  <c r="AS8" i="12"/>
  <c r="AO8" i="12"/>
  <c r="AB6" i="12"/>
  <c r="AC5" i="12"/>
  <c r="AB5" i="12"/>
  <c r="F5" i="12"/>
  <c r="AE3" i="12"/>
  <c r="AD3" i="12"/>
  <c r="AC3" i="12"/>
  <c r="AB3" i="12"/>
  <c r="BJ1" i="12"/>
  <c r="BJ15" i="12" s="1"/>
  <c r="BH1" i="12"/>
  <c r="M225" i="8"/>
  <c r="A225" i="8"/>
  <c r="D225" i="8" s="1"/>
  <c r="P224" i="8"/>
  <c r="D224" i="8"/>
  <c r="R223" i="8"/>
  <c r="M205" i="8"/>
  <c r="D205" i="8"/>
  <c r="A205" i="8"/>
  <c r="P204" i="8"/>
  <c r="D204" i="8"/>
  <c r="R203" i="8"/>
  <c r="A185" i="8"/>
  <c r="D185" i="8" s="1"/>
  <c r="P184" i="8"/>
  <c r="D184" i="8"/>
  <c r="R183" i="8"/>
  <c r="D165" i="8"/>
  <c r="A165" i="8"/>
  <c r="P164" i="8"/>
  <c r="M165" i="8" s="1"/>
  <c r="D164" i="8"/>
  <c r="R163" i="8"/>
  <c r="A145" i="8"/>
  <c r="P144" i="8"/>
  <c r="M145" i="8" s="1"/>
  <c r="D144" i="8"/>
  <c r="R143" i="8"/>
  <c r="M125" i="8"/>
  <c r="D125" i="8"/>
  <c r="A125" i="8"/>
  <c r="P124" i="8"/>
  <c r="D124" i="8"/>
  <c r="R123" i="8"/>
  <c r="M105" i="8"/>
  <c r="D105" i="8"/>
  <c r="A105" i="8"/>
  <c r="P104" i="8"/>
  <c r="D104" i="8"/>
  <c r="R103" i="8"/>
  <c r="A85" i="8"/>
  <c r="D85" i="8" s="1"/>
  <c r="P84" i="8"/>
  <c r="M85" i="8" s="1"/>
  <c r="D84" i="8"/>
  <c r="R83" i="8"/>
  <c r="M65" i="8"/>
  <c r="D65" i="8"/>
  <c r="A65" i="8"/>
  <c r="P64" i="8"/>
  <c r="D64" i="8"/>
  <c r="R63" i="8"/>
  <c r="M45" i="8"/>
  <c r="D45" i="8"/>
  <c r="A45" i="8"/>
  <c r="P44" i="8"/>
  <c r="D44" i="8"/>
  <c r="R43" i="8"/>
  <c r="M25" i="8"/>
  <c r="D25" i="8"/>
  <c r="A25" i="8"/>
  <c r="P24" i="8"/>
  <c r="D24" i="8"/>
  <c r="R23" i="8"/>
  <c r="P4" i="8"/>
  <c r="F238" i="7"/>
  <c r="E238" i="7"/>
  <c r="A225" i="7"/>
  <c r="P224" i="7"/>
  <c r="M225" i="7" s="1"/>
  <c r="R223" i="7"/>
  <c r="F218" i="7"/>
  <c r="E218" i="7"/>
  <c r="A205" i="7"/>
  <c r="P204" i="7"/>
  <c r="M205" i="7" s="1"/>
  <c r="R203" i="7"/>
  <c r="F198" i="7"/>
  <c r="E198" i="7"/>
  <c r="A185" i="7"/>
  <c r="P184" i="7"/>
  <c r="M185" i="7" s="1"/>
  <c r="R183" i="7"/>
  <c r="F178" i="7"/>
  <c r="E178" i="7"/>
  <c r="A165" i="7"/>
  <c r="P164" i="7"/>
  <c r="M165" i="7" s="1"/>
  <c r="R163" i="7"/>
  <c r="F158" i="7"/>
  <c r="E158" i="7"/>
  <c r="A145" i="7"/>
  <c r="D145" i="7" s="1"/>
  <c r="P144" i="7"/>
  <c r="M145" i="7" s="1"/>
  <c r="R143" i="7"/>
  <c r="F138" i="7"/>
  <c r="E138" i="7"/>
  <c r="A125" i="7"/>
  <c r="P124" i="7"/>
  <c r="R123" i="7"/>
  <c r="F118" i="7"/>
  <c r="E118" i="7"/>
  <c r="A105" i="7"/>
  <c r="P104" i="7"/>
  <c r="M105" i="7" s="1"/>
  <c r="R103" i="7"/>
  <c r="F98" i="7"/>
  <c r="E98" i="7"/>
  <c r="A85" i="7"/>
  <c r="P84" i="7"/>
  <c r="M85" i="7" s="1"/>
  <c r="R83" i="7"/>
  <c r="F78" i="7"/>
  <c r="E78" i="7"/>
  <c r="A65" i="7"/>
  <c r="P64" i="7"/>
  <c r="M65" i="7" s="1"/>
  <c r="R63" i="7"/>
  <c r="F58" i="7"/>
  <c r="E58" i="7"/>
  <c r="M45" i="7"/>
  <c r="A45" i="7"/>
  <c r="D45" i="7" s="1"/>
  <c r="P44" i="7"/>
  <c r="R43" i="7"/>
  <c r="F38" i="7"/>
  <c r="E38" i="7"/>
  <c r="A25" i="7"/>
  <c r="P24" i="7"/>
  <c r="M25" i="7" s="1"/>
  <c r="R23" i="7"/>
  <c r="F18" i="7"/>
  <c r="E18" i="7"/>
  <c r="A5" i="7"/>
  <c r="P4" i="7"/>
  <c r="M5" i="7" s="1"/>
  <c r="R3" i="7"/>
  <c r="AZ29" i="12" l="1"/>
  <c r="AR15" i="12"/>
  <c r="AR29" i="12"/>
  <c r="AN33" i="12"/>
  <c r="BJ9" i="12"/>
  <c r="BJ18" i="12" s="1"/>
  <c r="BJ17" i="12" s="1"/>
  <c r="AN16" i="12"/>
  <c r="AN25" i="12"/>
  <c r="AZ20" i="12"/>
  <c r="AR39" i="12"/>
  <c r="A26" i="13"/>
  <c r="E13" i="12"/>
  <c r="E13" i="13" s="1"/>
  <c r="AR20" i="12"/>
  <c r="AR24" i="12"/>
  <c r="AI33" i="13"/>
  <c r="C13" i="13"/>
  <c r="AR21" i="12"/>
  <c r="AR25" i="12"/>
  <c r="AR31" i="12"/>
  <c r="AB6" i="13"/>
  <c r="BJ9" i="13" s="1"/>
  <c r="BJ18" i="13" s="1"/>
  <c r="AK33" i="13"/>
  <c r="AR30" i="12"/>
  <c r="AJ33" i="13"/>
  <c r="AR22" i="12"/>
  <c r="AR26" i="12"/>
  <c r="AI34" i="13"/>
  <c r="AR15" i="13" s="1"/>
  <c r="AR27" i="12"/>
  <c r="AR34" i="12"/>
  <c r="AR16" i="12"/>
  <c r="AN17" i="12"/>
  <c r="AR19" i="12"/>
  <c r="AR28" i="12"/>
  <c r="AR35" i="12"/>
  <c r="AR40" i="12"/>
  <c r="BH9" i="12"/>
  <c r="BH18" i="12" s="1"/>
  <c r="BH21" i="12" s="1"/>
  <c r="AN15" i="12"/>
  <c r="AR17" i="12"/>
  <c r="AR23" i="12"/>
  <c r="AN29" i="12"/>
  <c r="AR36" i="12"/>
  <c r="AZ27" i="12"/>
  <c r="AV19" i="12"/>
  <c r="AV21" i="12"/>
  <c r="AV23" i="12"/>
  <c r="AV25" i="12"/>
  <c r="AV30" i="12"/>
  <c r="AV39" i="12"/>
  <c r="AZ40" i="12"/>
  <c r="AV15" i="12"/>
  <c r="AR18" i="12"/>
  <c r="AZ19" i="12"/>
  <c r="AZ21" i="12"/>
  <c r="AZ23" i="12"/>
  <c r="AZ25" i="12"/>
  <c r="AV28" i="12"/>
  <c r="AZ30" i="12"/>
  <c r="AZ34" i="12"/>
  <c r="AZ39" i="12"/>
  <c r="AH34" i="13"/>
  <c r="AN26" i="13" s="1"/>
  <c r="AV16" i="12"/>
  <c r="AZ18" i="12"/>
  <c r="AV22" i="12"/>
  <c r="AV31" i="12"/>
  <c r="AZ16" i="12"/>
  <c r="AV17" i="12"/>
  <c r="AZ22" i="12"/>
  <c r="AV24" i="12"/>
  <c r="AZ26" i="12"/>
  <c r="AZ31" i="12"/>
  <c r="AZ36" i="12"/>
  <c r="AV41" i="12"/>
  <c r="AK34" i="13"/>
  <c r="AZ40" i="13" s="1"/>
  <c r="AV27" i="12"/>
  <c r="AZ15" i="12"/>
  <c r="AV18" i="12"/>
  <c r="AZ28" i="12"/>
  <c r="AZ38" i="12"/>
  <c r="AV26" i="12"/>
  <c r="AV33" i="12"/>
  <c r="AJ34" i="13"/>
  <c r="AV16" i="13" s="1"/>
  <c r="AZ17" i="12"/>
  <c r="AV20" i="12"/>
  <c r="AZ24" i="12"/>
  <c r="AV29" i="12"/>
  <c r="AZ32" i="12"/>
  <c r="AZ42" i="12"/>
  <c r="E23" i="12"/>
  <c r="AE7" i="12" s="1"/>
  <c r="AA15" i="12"/>
  <c r="AA17" i="12" s="1"/>
  <c r="BE140" i="13"/>
  <c r="BE140" i="12"/>
  <c r="C30" i="12"/>
  <c r="AO5" i="12"/>
  <c r="AM130" i="12" s="1"/>
  <c r="AC3" i="13"/>
  <c r="E12" i="13"/>
  <c r="F12" i="13" s="1"/>
  <c r="F7" i="13"/>
  <c r="AB26" i="13" s="1"/>
  <c r="AE26" i="13" s="1"/>
  <c r="F10" i="12"/>
  <c r="AC5" i="13"/>
  <c r="AB3" i="13"/>
  <c r="AE46" i="13"/>
  <c r="AC38" i="13"/>
  <c r="AE40" i="13"/>
  <c r="AE41" i="13" s="1"/>
  <c r="AB46" i="13"/>
  <c r="AD46" i="13" s="1"/>
  <c r="AB47" i="13"/>
  <c r="AC39" i="13"/>
  <c r="AF46" i="13"/>
  <c r="AB45" i="13"/>
  <c r="AF45" i="13" s="1"/>
  <c r="AA10" i="13"/>
  <c r="AA11" i="13"/>
  <c r="BJ16" i="13"/>
  <c r="AM138" i="13"/>
  <c r="AM136" i="13"/>
  <c r="AM134" i="13"/>
  <c r="AM132" i="13"/>
  <c r="AM133" i="13"/>
  <c r="AM137" i="13"/>
  <c r="AM131" i="13"/>
  <c r="AM139" i="13"/>
  <c r="AM135" i="13"/>
  <c r="AE38" i="13"/>
  <c r="AE39" i="13"/>
  <c r="AQ139" i="13"/>
  <c r="BC139" i="13" s="1"/>
  <c r="AQ137" i="13"/>
  <c r="BC137" i="13" s="1"/>
  <c r="AQ135" i="13"/>
  <c r="BC135" i="13" s="1"/>
  <c r="AQ133" i="13"/>
  <c r="BC133" i="13" s="1"/>
  <c r="AQ131" i="13"/>
  <c r="BC131" i="13" s="1"/>
  <c r="BC130" i="13"/>
  <c r="AQ132" i="13"/>
  <c r="BC132" i="13" s="1"/>
  <c r="AQ136" i="13"/>
  <c r="BC136" i="13" s="1"/>
  <c r="AQ134" i="13"/>
  <c r="BC134" i="13" s="1"/>
  <c r="AQ138" i="13"/>
  <c r="BC138" i="13" s="1"/>
  <c r="AG26" i="13"/>
  <c r="BE130" i="13"/>
  <c r="AU138" i="13"/>
  <c r="BE138" i="13" s="1"/>
  <c r="AU136" i="13"/>
  <c r="BE136" i="13" s="1"/>
  <c r="AU134" i="13"/>
  <c r="BE134" i="13" s="1"/>
  <c r="AU132" i="13"/>
  <c r="BE132" i="13" s="1"/>
  <c r="AU135" i="13"/>
  <c r="BE135" i="13" s="1"/>
  <c r="AU131" i="13"/>
  <c r="BE131" i="13" s="1"/>
  <c r="AU137" i="13"/>
  <c r="BE137" i="13" s="1"/>
  <c r="AU139" i="13"/>
  <c r="BE139" i="13" s="1"/>
  <c r="AU133" i="13"/>
  <c r="BE133" i="13" s="1"/>
  <c r="AY139" i="13"/>
  <c r="AY137" i="13"/>
  <c r="AY135" i="13"/>
  <c r="AY133" i="13"/>
  <c r="AY131" i="13"/>
  <c r="AY136" i="13"/>
  <c r="AY138" i="13"/>
  <c r="AY134" i="13"/>
  <c r="AY132" i="13"/>
  <c r="BH16" i="13"/>
  <c r="BI19" i="13"/>
  <c r="BI20" i="13" s="1"/>
  <c r="BI21" i="13" s="1"/>
  <c r="BI23" i="13"/>
  <c r="BI24" i="13" s="1"/>
  <c r="BI25" i="13" s="1"/>
  <c r="BI26" i="13" s="1"/>
  <c r="BI27" i="13" s="1"/>
  <c r="BI28" i="13" s="1"/>
  <c r="BI29" i="13" s="1"/>
  <c r="BI30" i="13" s="1"/>
  <c r="BI31" i="13" s="1"/>
  <c r="BI32" i="13" s="1"/>
  <c r="BI33" i="13" s="1"/>
  <c r="BI34" i="13" s="1"/>
  <c r="BI35" i="13" s="1"/>
  <c r="BI36" i="13" s="1"/>
  <c r="BI37" i="13" s="1"/>
  <c r="BI38" i="13" s="1"/>
  <c r="BI39" i="13" s="1"/>
  <c r="BI40" i="13" s="1"/>
  <c r="BI41" i="13" s="1"/>
  <c r="BI42" i="13"/>
  <c r="BI43" i="13" s="1"/>
  <c r="BI44" i="13" s="1"/>
  <c r="BI45" i="13" s="1"/>
  <c r="BI46" i="13" s="1"/>
  <c r="BI47" i="13" s="1"/>
  <c r="BI48" i="13" s="1"/>
  <c r="BI49" i="13" s="1"/>
  <c r="BI50" i="13" s="1"/>
  <c r="BI51" i="13" s="1"/>
  <c r="BI52" i="13" s="1"/>
  <c r="BI53" i="13" s="1"/>
  <c r="BI54" i="13" s="1"/>
  <c r="BI55" i="13" s="1"/>
  <c r="BI56" i="13" s="1"/>
  <c r="BI57" i="13" s="1"/>
  <c r="BI58" i="13" s="1"/>
  <c r="BI59" i="13" s="1"/>
  <c r="BI60" i="13" s="1"/>
  <c r="BI61" i="13" s="1"/>
  <c r="BI62" i="13" s="1"/>
  <c r="AC26" i="13"/>
  <c r="AC40" i="13"/>
  <c r="AC41" i="13" s="1"/>
  <c r="BJ21" i="12"/>
  <c r="AQ136" i="12"/>
  <c r="BC136" i="12" s="1"/>
  <c r="AQ135" i="12"/>
  <c r="BC135" i="12" s="1"/>
  <c r="AQ133" i="12"/>
  <c r="BC133" i="12" s="1"/>
  <c r="AQ131" i="12"/>
  <c r="BC131" i="12" s="1"/>
  <c r="BC130" i="12"/>
  <c r="AQ132" i="12"/>
  <c r="BC132" i="12" s="1"/>
  <c r="AH26" i="12"/>
  <c r="AG26" i="12"/>
  <c r="AF26" i="12"/>
  <c r="AE26" i="12"/>
  <c r="AC26" i="12"/>
  <c r="AM139" i="12"/>
  <c r="AM137" i="12"/>
  <c r="AM135" i="12"/>
  <c r="AM132" i="12"/>
  <c r="AM138" i="12"/>
  <c r="AM131" i="12"/>
  <c r="AM134" i="12"/>
  <c r="AM133" i="12"/>
  <c r="AM136" i="12"/>
  <c r="AN42" i="12"/>
  <c r="AN37" i="12"/>
  <c r="AN36" i="12"/>
  <c r="AN35" i="12"/>
  <c r="AN34" i="12"/>
  <c r="AN32" i="12"/>
  <c r="AN38" i="12"/>
  <c r="AN40" i="12"/>
  <c r="AN28" i="12"/>
  <c r="AN41" i="12"/>
  <c r="AN22" i="12"/>
  <c r="AN24" i="12"/>
  <c r="AN21" i="12"/>
  <c r="AN18" i="12"/>
  <c r="AN39" i="12"/>
  <c r="AN19" i="12"/>
  <c r="AN20" i="12"/>
  <c r="AN31" i="12"/>
  <c r="AN30" i="12"/>
  <c r="AN26" i="12"/>
  <c r="AN23" i="12"/>
  <c r="AF48" i="12"/>
  <c r="AU139" i="12"/>
  <c r="BE139" i="12" s="1"/>
  <c r="AU137" i="12"/>
  <c r="BE137" i="12" s="1"/>
  <c r="AU135" i="12"/>
  <c r="BE135" i="12" s="1"/>
  <c r="AU134" i="12"/>
  <c r="BE134" i="12" s="1"/>
  <c r="AU136" i="12"/>
  <c r="BE136" i="12" s="1"/>
  <c r="AU132" i="12"/>
  <c r="BE132" i="12" s="1"/>
  <c r="AU131" i="12"/>
  <c r="BE131" i="12" s="1"/>
  <c r="AU138" i="12"/>
  <c r="BE138" i="12" s="1"/>
  <c r="BE130" i="12"/>
  <c r="AU133" i="12"/>
  <c r="BE133" i="12" s="1"/>
  <c r="BG43" i="12"/>
  <c r="BG44" i="12" s="1"/>
  <c r="BG45" i="12" s="1"/>
  <c r="BG46" i="12" s="1"/>
  <c r="BG47" i="12" s="1"/>
  <c r="BG48" i="12" s="1"/>
  <c r="BG49" i="12" s="1"/>
  <c r="BG50" i="12" s="1"/>
  <c r="BG51" i="12" s="1"/>
  <c r="BG52" i="12" s="1"/>
  <c r="BG53" i="12" s="1"/>
  <c r="BG54" i="12" s="1"/>
  <c r="BG55" i="12" s="1"/>
  <c r="BG56" i="12" s="1"/>
  <c r="BG57" i="12" s="1"/>
  <c r="BG58" i="12" s="1"/>
  <c r="BG59" i="12" s="1"/>
  <c r="BG60" i="12" s="1"/>
  <c r="BG61" i="12" s="1"/>
  <c r="BG62" i="12" s="1"/>
  <c r="BG23" i="12"/>
  <c r="BG24" i="12" s="1"/>
  <c r="BG25" i="12" s="1"/>
  <c r="BG26" i="12" s="1"/>
  <c r="BG27" i="12" s="1"/>
  <c r="BG28" i="12" s="1"/>
  <c r="BG29" i="12" s="1"/>
  <c r="BG30" i="12" s="1"/>
  <c r="BG31" i="12" s="1"/>
  <c r="BG32" i="12" s="1"/>
  <c r="BG33" i="12" s="1"/>
  <c r="BG34" i="12" s="1"/>
  <c r="BG35" i="12" s="1"/>
  <c r="BG36" i="12" s="1"/>
  <c r="BG37" i="12" s="1"/>
  <c r="BG38" i="12" s="1"/>
  <c r="BG39" i="12" s="1"/>
  <c r="BG40" i="12" s="1"/>
  <c r="BG41" i="12" s="1"/>
  <c r="AF46" i="12"/>
  <c r="AD46" i="12"/>
  <c r="AY136" i="12"/>
  <c r="AY139" i="12"/>
  <c r="AY134" i="12"/>
  <c r="AY133" i="12"/>
  <c r="F9" i="12"/>
  <c r="F8" i="12"/>
  <c r="BE16" i="12"/>
  <c r="AR41" i="12"/>
  <c r="AR33" i="12"/>
  <c r="AR38" i="12"/>
  <c r="AR32" i="12"/>
  <c r="AZ41" i="12"/>
  <c r="AZ33" i="12"/>
  <c r="AZ35" i="12"/>
  <c r="AC39" i="12"/>
  <c r="AF39" i="12" s="1"/>
  <c r="AC40" i="12"/>
  <c r="AC41" i="12" s="1"/>
  <c r="AF41" i="12" s="1"/>
  <c r="AG41" i="12" s="1"/>
  <c r="AR42" i="12"/>
  <c r="AD48" i="12"/>
  <c r="AF40" i="12"/>
  <c r="AG40" i="12" s="1"/>
  <c r="AD47" i="12"/>
  <c r="AV40" i="12"/>
  <c r="AV38" i="12"/>
  <c r="AV32" i="12"/>
  <c r="AV34" i="12"/>
  <c r="AV35" i="12"/>
  <c r="AV36" i="12"/>
  <c r="AV37" i="12"/>
  <c r="BG64" i="12"/>
  <c r="BG65" i="12" s="1"/>
  <c r="BG66" i="12" s="1"/>
  <c r="BG67" i="12" s="1"/>
  <c r="BG68" i="12" s="1"/>
  <c r="BG69" i="12" s="1"/>
  <c r="BG70" i="12" s="1"/>
  <c r="BG71" i="12" s="1"/>
  <c r="BG72" i="12" s="1"/>
  <c r="BG73" i="12" s="1"/>
  <c r="BG74" i="12" s="1"/>
  <c r="BG75" i="12" s="1"/>
  <c r="BG76" i="12" s="1"/>
  <c r="BG77" i="12" s="1"/>
  <c r="BG78" i="12" s="1"/>
  <c r="BG79" i="12" s="1"/>
  <c r="BG80" i="12" s="1"/>
  <c r="BG81" i="12" s="1"/>
  <c r="BG82" i="12" s="1"/>
  <c r="AY140" i="12"/>
  <c r="AY135" i="12" s="1"/>
  <c r="AQ140" i="12"/>
  <c r="BC140" i="12" s="1"/>
  <c r="M185" i="8"/>
  <c r="D145" i="8"/>
  <c r="D165" i="7"/>
  <c r="D185" i="7"/>
  <c r="D105" i="7"/>
  <c r="D225" i="7"/>
  <c r="D85" i="7"/>
  <c r="D65" i="7"/>
  <c r="D205" i="7"/>
  <c r="D125" i="7"/>
  <c r="M125" i="7"/>
  <c r="D25" i="7"/>
  <c r="D5" i="7"/>
  <c r="BJ22" i="12" l="1"/>
  <c r="AR29" i="13"/>
  <c r="AR42" i="13"/>
  <c r="AR38" i="13"/>
  <c r="AR39" i="13"/>
  <c r="AV38" i="13"/>
  <c r="BJ20" i="12"/>
  <c r="BJ19" i="12"/>
  <c r="AR18" i="13"/>
  <c r="AR32" i="13"/>
  <c r="AR21" i="13"/>
  <c r="AR35" i="13"/>
  <c r="AZ29" i="13"/>
  <c r="AR37" i="13"/>
  <c r="AV36" i="13"/>
  <c r="BH9" i="13"/>
  <c r="BH18" i="13" s="1"/>
  <c r="BH19" i="13" s="1"/>
  <c r="AB7" i="12"/>
  <c r="C24" i="12"/>
  <c r="AA21" i="12"/>
  <c r="AA16" i="12"/>
  <c r="AA22" i="12" s="1"/>
  <c r="AA18" i="12"/>
  <c r="BJ20" i="13"/>
  <c r="BJ17" i="13"/>
  <c r="BH19" i="12"/>
  <c r="AV41" i="13"/>
  <c r="AZ15" i="13"/>
  <c r="AN24" i="13"/>
  <c r="BH20" i="12"/>
  <c r="AN19" i="13"/>
  <c r="BH22" i="12"/>
  <c r="BH104" i="12" s="1"/>
  <c r="AR41" i="13"/>
  <c r="AV37" i="13"/>
  <c r="AZ22" i="13"/>
  <c r="AR34" i="13"/>
  <c r="AR25" i="13"/>
  <c r="AR17" i="13"/>
  <c r="AR26" i="13"/>
  <c r="AR36" i="13"/>
  <c r="AR22" i="13"/>
  <c r="AZ41" i="13"/>
  <c r="AR30" i="13"/>
  <c r="AV32" i="13"/>
  <c r="AR19" i="13"/>
  <c r="AN31" i="13"/>
  <c r="AN23" i="13"/>
  <c r="AN42" i="13"/>
  <c r="AN34" i="13"/>
  <c r="AR16" i="13"/>
  <c r="AV29" i="13"/>
  <c r="AZ36" i="13"/>
  <c r="AR28" i="13"/>
  <c r="AZ21" i="13"/>
  <c r="AN36" i="13"/>
  <c r="BH17" i="12"/>
  <c r="AZ16" i="13"/>
  <c r="AZ32" i="13"/>
  <c r="AN41" i="13"/>
  <c r="AV42" i="13"/>
  <c r="AR40" i="13"/>
  <c r="AV24" i="13"/>
  <c r="AR31" i="13"/>
  <c r="AR23" i="13"/>
  <c r="AZ18" i="13"/>
  <c r="AN17" i="13"/>
  <c r="AN18" i="13"/>
  <c r="AR33" i="13"/>
  <c r="AV25" i="13"/>
  <c r="AZ28" i="13"/>
  <c r="AR20" i="13"/>
  <c r="AR24" i="13"/>
  <c r="AR27" i="13"/>
  <c r="AV34" i="13"/>
  <c r="AV27" i="13"/>
  <c r="AV30" i="13"/>
  <c r="AV19" i="13"/>
  <c r="AV15" i="13"/>
  <c r="AZ23" i="13"/>
  <c r="AN39" i="13"/>
  <c r="AN20" i="13"/>
  <c r="AZ42" i="13"/>
  <c r="AN29" i="13"/>
  <c r="AN32" i="13"/>
  <c r="AV35" i="13"/>
  <c r="AV40" i="13"/>
  <c r="AV31" i="13"/>
  <c r="AZ31" i="13"/>
  <c r="AZ20" i="13"/>
  <c r="AZ25" i="13"/>
  <c r="AN37" i="13"/>
  <c r="AZ17" i="13"/>
  <c r="AN40" i="13"/>
  <c r="AN21" i="13"/>
  <c r="AN22" i="13"/>
  <c r="AV20" i="13"/>
  <c r="AV18" i="13"/>
  <c r="AV33" i="13"/>
  <c r="AV23" i="13"/>
  <c r="AZ35" i="13"/>
  <c r="AZ27" i="13"/>
  <c r="AV17" i="13"/>
  <c r="AZ30" i="13"/>
  <c r="AN35" i="13"/>
  <c r="AN38" i="13"/>
  <c r="AZ38" i="13"/>
  <c r="AZ24" i="13"/>
  <c r="AZ19" i="13"/>
  <c r="AZ39" i="13"/>
  <c r="AV22" i="13"/>
  <c r="AV26" i="13"/>
  <c r="AZ37" i="13"/>
  <c r="AN16" i="13"/>
  <c r="AN28" i="13"/>
  <c r="AN33" i="13"/>
  <c r="AN25" i="13"/>
  <c r="AZ33" i="13"/>
  <c r="AV28" i="13"/>
  <c r="AV39" i="13"/>
  <c r="AZ26" i="13"/>
  <c r="AZ34" i="13"/>
  <c r="AV21" i="13"/>
  <c r="AN30" i="13"/>
  <c r="AN15" i="13"/>
  <c r="AN27" i="13"/>
  <c r="I7" i="12"/>
  <c r="AH26" i="13"/>
  <c r="AB27" i="12"/>
  <c r="AH27" i="12" s="1"/>
  <c r="F8" i="13"/>
  <c r="AB27" i="13" s="1"/>
  <c r="AD27" i="13" s="1"/>
  <c r="AB28" i="12"/>
  <c r="AD28" i="12" s="1"/>
  <c r="F9" i="13"/>
  <c r="AB28" i="13" s="1"/>
  <c r="AC28" i="13" s="1"/>
  <c r="AB29" i="12"/>
  <c r="AF29" i="12" s="1"/>
  <c r="F10" i="13"/>
  <c r="AB29" i="13" s="1"/>
  <c r="H7" i="12"/>
  <c r="H7" i="13" s="1"/>
  <c r="BJ21" i="13"/>
  <c r="AG29" i="13"/>
  <c r="BJ19" i="13"/>
  <c r="BJ22" i="13"/>
  <c r="BJ102" i="13" s="1"/>
  <c r="AF39" i="13"/>
  <c r="AD45" i="13"/>
  <c r="AF26" i="13" s="1"/>
  <c r="AB48" i="13"/>
  <c r="AD47" i="13"/>
  <c r="AF47" i="13"/>
  <c r="AF38" i="13"/>
  <c r="AG39" i="13"/>
  <c r="AF40" i="13"/>
  <c r="AF41" i="13"/>
  <c r="AF38" i="12"/>
  <c r="AG39" i="12"/>
  <c r="AH28" i="12"/>
  <c r="AG28" i="12"/>
  <c r="AE28" i="12"/>
  <c r="AY137" i="12"/>
  <c r="AY138" i="12"/>
  <c r="AQ134" i="12"/>
  <c r="BC134" i="12" s="1"/>
  <c r="AY132" i="12"/>
  <c r="AQ137" i="12"/>
  <c r="BC137" i="12" s="1"/>
  <c r="AQ138" i="12"/>
  <c r="BC138" i="12" s="1"/>
  <c r="AY131" i="12"/>
  <c r="BH89" i="12"/>
  <c r="BH100" i="12"/>
  <c r="BH84" i="12"/>
  <c r="BH61" i="12"/>
  <c r="BH93" i="12"/>
  <c r="BH56" i="12"/>
  <c r="BH40" i="12"/>
  <c r="BH29" i="12"/>
  <c r="BH35" i="12"/>
  <c r="AQ139" i="12"/>
  <c r="BC139" i="12" s="1"/>
  <c r="AE27" i="12"/>
  <c r="AD27" i="12"/>
  <c r="AD29" i="12"/>
  <c r="BJ104" i="12"/>
  <c r="BJ103" i="12"/>
  <c r="BJ100" i="12"/>
  <c r="BJ92" i="12"/>
  <c r="BJ95" i="12"/>
  <c r="BJ98" i="12"/>
  <c r="BJ90" i="12"/>
  <c r="BJ87" i="12"/>
  <c r="BJ86" i="12"/>
  <c r="BJ84" i="12"/>
  <c r="BJ82" i="12"/>
  <c r="BJ102" i="12"/>
  <c r="BJ101" i="12"/>
  <c r="BJ93" i="12"/>
  <c r="BJ96" i="12"/>
  <c r="BJ88" i="12"/>
  <c r="BJ99" i="12"/>
  <c r="BJ91" i="12"/>
  <c r="BJ94" i="12"/>
  <c r="BJ85" i="12"/>
  <c r="BJ83" i="12"/>
  <c r="BJ81" i="12"/>
  <c r="BJ73" i="12"/>
  <c r="BJ65" i="12"/>
  <c r="BJ97" i="12"/>
  <c r="BJ74" i="12"/>
  <c r="BJ60" i="12"/>
  <c r="BJ59" i="12"/>
  <c r="BJ58" i="12"/>
  <c r="BJ57" i="12"/>
  <c r="BJ56" i="12"/>
  <c r="BJ55" i="12"/>
  <c r="BJ54" i="12"/>
  <c r="BJ53" i="12"/>
  <c r="BJ52" i="12"/>
  <c r="BJ51" i="12"/>
  <c r="BJ50" i="12"/>
  <c r="BJ75" i="12"/>
  <c r="BJ64" i="12"/>
  <c r="BJ76" i="12"/>
  <c r="BJ68" i="12"/>
  <c r="BJ61" i="12"/>
  <c r="BJ45" i="12"/>
  <c r="BJ77" i="12"/>
  <c r="BJ69" i="12"/>
  <c r="BJ67" i="12"/>
  <c r="BJ63" i="12"/>
  <c r="BJ78" i="12"/>
  <c r="BJ70" i="12"/>
  <c r="BJ89" i="12"/>
  <c r="BJ79" i="12"/>
  <c r="BJ71" i="12"/>
  <c r="BJ66" i="12"/>
  <c r="BJ38" i="12"/>
  <c r="BJ47" i="12"/>
  <c r="BJ43" i="12"/>
  <c r="BJ37" i="12"/>
  <c r="BJ33" i="12"/>
  <c r="BJ30" i="12"/>
  <c r="BJ26" i="12"/>
  <c r="BJ42" i="12"/>
  <c r="BJ40" i="12"/>
  <c r="BJ31" i="12"/>
  <c r="BJ29" i="12"/>
  <c r="BJ27" i="12"/>
  <c r="BJ28" i="12"/>
  <c r="BJ25" i="12"/>
  <c r="BJ62" i="12"/>
  <c r="BJ46" i="12"/>
  <c r="BJ41" i="12"/>
  <c r="BJ72" i="12"/>
  <c r="BJ48" i="12"/>
  <c r="BJ34" i="12"/>
  <c r="BJ32" i="12"/>
  <c r="BJ24" i="12"/>
  <c r="BJ80" i="12"/>
  <c r="BJ49" i="12"/>
  <c r="BJ44" i="12"/>
  <c r="BJ39" i="12"/>
  <c r="BJ35" i="12"/>
  <c r="BJ36" i="12"/>
  <c r="BJ23" i="12"/>
  <c r="BH17" i="13" l="1"/>
  <c r="BH21" i="13"/>
  <c r="BH20" i="13"/>
  <c r="BH22" i="13"/>
  <c r="BH57" i="13" s="1"/>
  <c r="BH37" i="12"/>
  <c r="BH67" i="12"/>
  <c r="BH36" i="12"/>
  <c r="BH69" i="12"/>
  <c r="BH48" i="12"/>
  <c r="BH75" i="12"/>
  <c r="BH50" i="12"/>
  <c r="BH77" i="12"/>
  <c r="BH34" i="12"/>
  <c r="BH58" i="12"/>
  <c r="BH87" i="12"/>
  <c r="BH33" i="13"/>
  <c r="BH46" i="12"/>
  <c r="BH23" i="12"/>
  <c r="BH39" i="12"/>
  <c r="BH51" i="12"/>
  <c r="BH59" i="12"/>
  <c r="BH62" i="12"/>
  <c r="BH70" i="12"/>
  <c r="BH78" i="12"/>
  <c r="BH90" i="12"/>
  <c r="BH97" i="12"/>
  <c r="BH37" i="13"/>
  <c r="BH74" i="13"/>
  <c r="BH25" i="12"/>
  <c r="BH26" i="12"/>
  <c r="BH99" i="12"/>
  <c r="BH52" i="12"/>
  <c r="BH60" i="12"/>
  <c r="BH63" i="12"/>
  <c r="BH71" i="12"/>
  <c r="BH79" i="12"/>
  <c r="BH98" i="12"/>
  <c r="BH103" i="12"/>
  <c r="BH27" i="13"/>
  <c r="BH83" i="13"/>
  <c r="BH81" i="13"/>
  <c r="BH28" i="12"/>
  <c r="BH30" i="12"/>
  <c r="BH33" i="12"/>
  <c r="BH53" i="12"/>
  <c r="BH91" i="12"/>
  <c r="BH64" i="12"/>
  <c r="BH72" i="12"/>
  <c r="BH80" i="12"/>
  <c r="BH102" i="12"/>
  <c r="BH83" i="12"/>
  <c r="BH44" i="13"/>
  <c r="BH85" i="13"/>
  <c r="BH38" i="12"/>
  <c r="BH42" i="12"/>
  <c r="BH41" i="12"/>
  <c r="BH54" i="12"/>
  <c r="BH88" i="12"/>
  <c r="BH65" i="12"/>
  <c r="BH73" i="12"/>
  <c r="BH81" i="12"/>
  <c r="BH95" i="12"/>
  <c r="BH85" i="12"/>
  <c r="BH52" i="13"/>
  <c r="BH91" i="13"/>
  <c r="BH24" i="12"/>
  <c r="BH32" i="12"/>
  <c r="BH27" i="12"/>
  <c r="BH47" i="12"/>
  <c r="BH43" i="12"/>
  <c r="BH55" i="12"/>
  <c r="BH96" i="12"/>
  <c r="BH66" i="12"/>
  <c r="BH74" i="12"/>
  <c r="BH82" i="12"/>
  <c r="BH92" i="12"/>
  <c r="BH94" i="12"/>
  <c r="BH39" i="13"/>
  <c r="BH58" i="13"/>
  <c r="BH92" i="13"/>
  <c r="BJ81" i="13"/>
  <c r="BH44" i="12"/>
  <c r="BH31" i="12"/>
  <c r="BH45" i="12"/>
  <c r="BH49" i="12"/>
  <c r="BH57" i="12"/>
  <c r="BH101" i="12"/>
  <c r="BH68" i="12"/>
  <c r="BH76" i="12"/>
  <c r="BH86" i="12"/>
  <c r="BH41" i="13"/>
  <c r="BH66" i="13"/>
  <c r="BJ80" i="13"/>
  <c r="BJ65" i="13"/>
  <c r="BJ32" i="13"/>
  <c r="BJ64" i="13"/>
  <c r="BJ89" i="13"/>
  <c r="BH46" i="13"/>
  <c r="BH40" i="13"/>
  <c r="BH47" i="13"/>
  <c r="BH53" i="13"/>
  <c r="BH103" i="13"/>
  <c r="BH59" i="13"/>
  <c r="BH67" i="13"/>
  <c r="BH75" i="13"/>
  <c r="BH84" i="13"/>
  <c r="BH93" i="13"/>
  <c r="BJ46" i="13"/>
  <c r="BJ47" i="13"/>
  <c r="BJ40" i="13"/>
  <c r="BH48" i="13"/>
  <c r="BH55" i="13"/>
  <c r="BH50" i="13"/>
  <c r="BH54" i="13"/>
  <c r="BH98" i="13"/>
  <c r="BH104" i="13"/>
  <c r="BH60" i="13"/>
  <c r="BH68" i="13"/>
  <c r="BH76" i="13"/>
  <c r="BH86" i="13"/>
  <c r="BH94" i="13"/>
  <c r="BJ29" i="13"/>
  <c r="BJ92" i="13"/>
  <c r="BJ91" i="13"/>
  <c r="BH30" i="13"/>
  <c r="BH35" i="13"/>
  <c r="BH96" i="13"/>
  <c r="BH77" i="13"/>
  <c r="BH87" i="13"/>
  <c r="BJ33" i="13"/>
  <c r="BJ79" i="13"/>
  <c r="BH34" i="13"/>
  <c r="BH26" i="13"/>
  <c r="BH28" i="13"/>
  <c r="BH42" i="13"/>
  <c r="BH38" i="13"/>
  <c r="BH97" i="13"/>
  <c r="BH62" i="13"/>
  <c r="BH70" i="13"/>
  <c r="BH78" i="13"/>
  <c r="BH88" i="13"/>
  <c r="BJ24" i="13"/>
  <c r="BJ53" i="13"/>
  <c r="BJ51" i="13"/>
  <c r="BJ85" i="13"/>
  <c r="BH23" i="13"/>
  <c r="BH100" i="13"/>
  <c r="BH61" i="13"/>
  <c r="BH95" i="13"/>
  <c r="BH36" i="13"/>
  <c r="BH29" i="13"/>
  <c r="BH32" i="13"/>
  <c r="BH45" i="13"/>
  <c r="BH101" i="13"/>
  <c r="BH99" i="13"/>
  <c r="BH63" i="13"/>
  <c r="BH71" i="13"/>
  <c r="BH79" i="13"/>
  <c r="BH89" i="13"/>
  <c r="BJ28" i="13"/>
  <c r="BJ70" i="13"/>
  <c r="BJ71" i="13"/>
  <c r="BJ99" i="13"/>
  <c r="BH24" i="13"/>
  <c r="BH69" i="13"/>
  <c r="BJ45" i="13"/>
  <c r="BH25" i="13"/>
  <c r="BH31" i="13"/>
  <c r="BH43" i="13"/>
  <c r="BH51" i="13"/>
  <c r="BH102" i="13"/>
  <c r="BH56" i="13"/>
  <c r="BH64" i="13"/>
  <c r="BH72" i="13"/>
  <c r="BH80" i="13"/>
  <c r="BJ34" i="13"/>
  <c r="BJ55" i="13"/>
  <c r="BJ75" i="13"/>
  <c r="BJ103" i="13"/>
  <c r="AF28" i="12"/>
  <c r="H9" i="12" s="1"/>
  <c r="AC28" i="12"/>
  <c r="G9" i="12" s="1"/>
  <c r="G9" i="13" s="1"/>
  <c r="AE27" i="13"/>
  <c r="AC27" i="12"/>
  <c r="G8" i="12" s="1"/>
  <c r="G8" i="13" s="1"/>
  <c r="F18" i="13" s="1"/>
  <c r="AS4" i="13" s="1"/>
  <c r="AQ63" i="13" s="1"/>
  <c r="AF27" i="13"/>
  <c r="AH27" i="13"/>
  <c r="AF27" i="12"/>
  <c r="H8" i="12" s="1"/>
  <c r="H8" i="13" s="1"/>
  <c r="AC27" i="13"/>
  <c r="AG28" i="13"/>
  <c r="AG27" i="12"/>
  <c r="AH28" i="13"/>
  <c r="E17" i="12"/>
  <c r="I7" i="13"/>
  <c r="E17" i="13" s="1"/>
  <c r="AO3" i="13" s="1"/>
  <c r="AM22" i="13" s="1"/>
  <c r="AF28" i="13"/>
  <c r="AE28" i="13"/>
  <c r="AC29" i="13"/>
  <c r="AE29" i="13"/>
  <c r="AG27" i="13"/>
  <c r="I9" i="12"/>
  <c r="AC29" i="12"/>
  <c r="G10" i="12" s="1"/>
  <c r="AG29" i="12"/>
  <c r="AE29" i="12"/>
  <c r="H10" i="12" s="1"/>
  <c r="H10" i="13" s="1"/>
  <c r="AH29" i="12"/>
  <c r="BJ78" i="13"/>
  <c r="BJ96" i="13"/>
  <c r="BJ37" i="13"/>
  <c r="BJ27" i="13"/>
  <c r="BJ57" i="13"/>
  <c r="BJ38" i="13"/>
  <c r="BJ49" i="13"/>
  <c r="BJ56" i="13"/>
  <c r="BJ82" i="13"/>
  <c r="BJ69" i="13"/>
  <c r="BJ68" i="13"/>
  <c r="BJ97" i="13"/>
  <c r="BJ61" i="13"/>
  <c r="BJ60" i="13"/>
  <c r="BJ48" i="13"/>
  <c r="BJ41" i="13"/>
  <c r="BJ95" i="13"/>
  <c r="BJ52" i="13"/>
  <c r="BJ87" i="13"/>
  <c r="BJ63" i="13"/>
  <c r="BJ88" i="13"/>
  <c r="BJ90" i="13"/>
  <c r="BJ76" i="13"/>
  <c r="BJ98" i="13"/>
  <c r="BJ36" i="13"/>
  <c r="BJ62" i="13"/>
  <c r="BJ86" i="13"/>
  <c r="BJ94" i="13"/>
  <c r="BJ35" i="13"/>
  <c r="BJ73" i="13"/>
  <c r="BJ72" i="13"/>
  <c r="BJ58" i="13"/>
  <c r="BJ93" i="13"/>
  <c r="BJ100" i="13"/>
  <c r="BJ25" i="13"/>
  <c r="BJ23" i="13"/>
  <c r="BJ43" i="13"/>
  <c r="BJ30" i="13"/>
  <c r="BJ39" i="13"/>
  <c r="BJ59" i="13"/>
  <c r="BJ77" i="13"/>
  <c r="BJ66" i="13"/>
  <c r="BJ104" i="13"/>
  <c r="BJ101" i="13"/>
  <c r="BJ54" i="13"/>
  <c r="BJ44" i="13"/>
  <c r="BJ26" i="13"/>
  <c r="BJ50" i="13"/>
  <c r="BJ31" i="13"/>
  <c r="BJ42" i="13"/>
  <c r="BJ67" i="13"/>
  <c r="BJ84" i="13"/>
  <c r="BJ74" i="13"/>
  <c r="BJ83" i="13"/>
  <c r="AF48" i="13"/>
  <c r="AH29" i="13" s="1"/>
  <c r="AD48" i="13"/>
  <c r="AF29" i="13" s="1"/>
  <c r="AG38" i="13"/>
  <c r="AD26" i="13"/>
  <c r="AG41" i="13"/>
  <c r="AD29" i="13"/>
  <c r="AG40" i="13"/>
  <c r="AD28" i="13"/>
  <c r="I8" i="12"/>
  <c r="AG38" i="12"/>
  <c r="AD26" i="12"/>
  <c r="G7" i="12" s="1"/>
  <c r="G7" i="13" s="1"/>
  <c r="BH82" i="13" l="1"/>
  <c r="BH90" i="13"/>
  <c r="BH73" i="13"/>
  <c r="BH49" i="13"/>
  <c r="BH65" i="13"/>
  <c r="F19" i="12"/>
  <c r="AW4" i="12" s="1"/>
  <c r="AU63" i="12" s="1"/>
  <c r="F18" i="12"/>
  <c r="AS4" i="12" s="1"/>
  <c r="AQ63" i="12" s="1"/>
  <c r="BC63" i="12" s="1"/>
  <c r="H9" i="13"/>
  <c r="B19" i="12"/>
  <c r="C19" i="12" s="1"/>
  <c r="AW1" i="12" s="1"/>
  <c r="AW15" i="12" s="1"/>
  <c r="G10" i="13"/>
  <c r="B20" i="13" s="1"/>
  <c r="C20" i="13" s="1"/>
  <c r="F20" i="12"/>
  <c r="BA4" i="12" s="1"/>
  <c r="B20" i="12"/>
  <c r="C20" i="12" s="1"/>
  <c r="BA1" i="12" s="1"/>
  <c r="BA15" i="12" s="1"/>
  <c r="E18" i="12"/>
  <c r="AS3" i="12" s="1"/>
  <c r="AQ22" i="12" s="1"/>
  <c r="I8" i="13"/>
  <c r="E18" i="13" s="1"/>
  <c r="I10" i="12"/>
  <c r="D17" i="12"/>
  <c r="AO2" i="12" s="1"/>
  <c r="AM18" i="12" s="1"/>
  <c r="AO3" i="12"/>
  <c r="AM22" i="12" s="1"/>
  <c r="D17" i="13"/>
  <c r="AO2" i="13" s="1"/>
  <c r="AM18" i="13" s="1"/>
  <c r="AM17" i="13" s="1"/>
  <c r="E19" i="12"/>
  <c r="I9" i="13"/>
  <c r="E19" i="13" s="1"/>
  <c r="B18" i="13"/>
  <c r="C18" i="13" s="1"/>
  <c r="F20" i="13"/>
  <c r="BA4" i="13" s="1"/>
  <c r="F19" i="13"/>
  <c r="AW4" i="13" s="1"/>
  <c r="AU63" i="13" s="1"/>
  <c r="B19" i="13"/>
  <c r="C19" i="13" s="1"/>
  <c r="AQ104" i="13"/>
  <c r="BC63" i="13"/>
  <c r="B17" i="13"/>
  <c r="C17" i="13" s="1"/>
  <c r="F17" i="13"/>
  <c r="AO4" i="13" s="1"/>
  <c r="AM63" i="13" s="1"/>
  <c r="AM19" i="13"/>
  <c r="AM20" i="13" s="1"/>
  <c r="AM21" i="13" s="1"/>
  <c r="AU104" i="12"/>
  <c r="BE63" i="12"/>
  <c r="B18" i="12"/>
  <c r="C18" i="12" s="1"/>
  <c r="AX132" i="12"/>
  <c r="AW132" i="12" s="1"/>
  <c r="BF132" i="12" s="1"/>
  <c r="AX136" i="12"/>
  <c r="AW136" i="12" s="1"/>
  <c r="BF136" i="12" s="1"/>
  <c r="AX134" i="12"/>
  <c r="AW134" i="12" s="1"/>
  <c r="BF134" i="12" s="1"/>
  <c r="AX133" i="12"/>
  <c r="AW133" i="12" s="1"/>
  <c r="BF133" i="12" s="1"/>
  <c r="AX131" i="12"/>
  <c r="AW131" i="12" s="1"/>
  <c r="BF131" i="12" s="1"/>
  <c r="AX139" i="12"/>
  <c r="AW139" i="12" s="1"/>
  <c r="BF139" i="12" s="1"/>
  <c r="AY63" i="12"/>
  <c r="F17" i="12"/>
  <c r="AO4" i="12" s="1"/>
  <c r="AM63" i="12" s="1"/>
  <c r="B17" i="12"/>
  <c r="C17" i="12" s="1"/>
  <c r="AX138" i="12" l="1"/>
  <c r="AW138" i="12" s="1"/>
  <c r="BF138" i="12" s="1"/>
  <c r="AQ104" i="12"/>
  <c r="AX135" i="12"/>
  <c r="AW135" i="12" s="1"/>
  <c r="BF135" i="12" s="1"/>
  <c r="H19" i="12"/>
  <c r="E29" i="12" s="1"/>
  <c r="AW7" i="12"/>
  <c r="AX137" i="12"/>
  <c r="AW137" i="12" s="1"/>
  <c r="BF137" i="12" s="1"/>
  <c r="D18" i="12"/>
  <c r="AS2" i="12" s="1"/>
  <c r="AQ18" i="12" s="1"/>
  <c r="AW3" i="13"/>
  <c r="AU22" i="13" s="1"/>
  <c r="BE22" i="13" s="1"/>
  <c r="D19" i="13"/>
  <c r="AW2" i="13" s="1"/>
  <c r="AU18" i="13" s="1"/>
  <c r="AM19" i="12"/>
  <c r="AM20" i="12" s="1"/>
  <c r="AM21" i="12" s="1"/>
  <c r="AM17" i="12"/>
  <c r="AS3" i="13"/>
  <c r="AQ22" i="13" s="1"/>
  <c r="BC22" i="13" s="1"/>
  <c r="D18" i="13"/>
  <c r="AS2" i="13" s="1"/>
  <c r="AQ18" i="13" s="1"/>
  <c r="E20" i="12"/>
  <c r="H20" i="12" s="1"/>
  <c r="BA6" i="12" s="1"/>
  <c r="I10" i="13"/>
  <c r="E20" i="13" s="1"/>
  <c r="AW3" i="12"/>
  <c r="AU22" i="12" s="1"/>
  <c r="BE22" i="12" s="1"/>
  <c r="D19" i="12"/>
  <c r="AW2" i="12" s="1"/>
  <c r="AU18" i="12" s="1"/>
  <c r="AX140" i="12"/>
  <c r="AW140" i="12" s="1"/>
  <c r="BF140" i="12" s="1"/>
  <c r="AS7" i="13"/>
  <c r="AS1" i="13"/>
  <c r="AS15" i="13" s="1"/>
  <c r="BD15" i="13" s="1"/>
  <c r="AO7" i="13"/>
  <c r="AO1" i="13"/>
  <c r="AU104" i="13"/>
  <c r="BE63" i="13"/>
  <c r="BA7" i="13"/>
  <c r="BA1" i="13"/>
  <c r="BA15" i="13" s="1"/>
  <c r="AY63" i="13"/>
  <c r="BC104" i="13"/>
  <c r="AQ105" i="13"/>
  <c r="AM104" i="13"/>
  <c r="AM105" i="13" s="1"/>
  <c r="AM106" i="13" s="1"/>
  <c r="AM107" i="13" s="1"/>
  <c r="AM108" i="13" s="1"/>
  <c r="AM109" i="13" s="1"/>
  <c r="AM110" i="13" s="1"/>
  <c r="AM111" i="13" s="1"/>
  <c r="AM112" i="13" s="1"/>
  <c r="AM113" i="13" s="1"/>
  <c r="AM114" i="13" s="1"/>
  <c r="AM115" i="13" s="1"/>
  <c r="AM116" i="13" s="1"/>
  <c r="AM117" i="13" s="1"/>
  <c r="AM118" i="13" s="1"/>
  <c r="AM119" i="13" s="1"/>
  <c r="AM120" i="13" s="1"/>
  <c r="AM121" i="13" s="1"/>
  <c r="AM122" i="13" s="1"/>
  <c r="AM123" i="13" s="1"/>
  <c r="AM124" i="13" s="1"/>
  <c r="AM125" i="13" s="1"/>
  <c r="AM126" i="13" s="1"/>
  <c r="AM127" i="13" s="1"/>
  <c r="AM128" i="13" s="1"/>
  <c r="AM129" i="13" s="1"/>
  <c r="AW7" i="13"/>
  <c r="AW1" i="13"/>
  <c r="AW15" i="13" s="1"/>
  <c r="AT140" i="12"/>
  <c r="AS140" i="12" s="1"/>
  <c r="BD140" i="12" s="1"/>
  <c r="AT138" i="12"/>
  <c r="AS138" i="12" s="1"/>
  <c r="BD138" i="12" s="1"/>
  <c r="AT139" i="12"/>
  <c r="AS139" i="12" s="1"/>
  <c r="BD139" i="12" s="1"/>
  <c r="AS7" i="12"/>
  <c r="AS1" i="12"/>
  <c r="AS15" i="12" s="1"/>
  <c r="AT131" i="12"/>
  <c r="AS131" i="12" s="1"/>
  <c r="BD131" i="12" s="1"/>
  <c r="AT137" i="12"/>
  <c r="AS137" i="12" s="1"/>
  <c r="BD137" i="12" s="1"/>
  <c r="AT133" i="12"/>
  <c r="AS133" i="12" s="1"/>
  <c r="BD133" i="12" s="1"/>
  <c r="AT135" i="12"/>
  <c r="AS135" i="12" s="1"/>
  <c r="BD135" i="12" s="1"/>
  <c r="AT136" i="12"/>
  <c r="AS136" i="12" s="1"/>
  <c r="BD136" i="12" s="1"/>
  <c r="AT132" i="12"/>
  <c r="AS132" i="12" s="1"/>
  <c r="BD132" i="12" s="1"/>
  <c r="AT134" i="12"/>
  <c r="AS134" i="12" s="1"/>
  <c r="BD134" i="12" s="1"/>
  <c r="BA16" i="12"/>
  <c r="BB15" i="12"/>
  <c r="AY104" i="12"/>
  <c r="AY105" i="12" s="1"/>
  <c r="AY106" i="12" s="1"/>
  <c r="AY107" i="12" s="1"/>
  <c r="AY108" i="12" s="1"/>
  <c r="AY109" i="12" s="1"/>
  <c r="AY110" i="12" s="1"/>
  <c r="AY111" i="12" s="1"/>
  <c r="AY112" i="12" s="1"/>
  <c r="AY113" i="12" s="1"/>
  <c r="AY114" i="12" s="1"/>
  <c r="AY115" i="12" s="1"/>
  <c r="AY116" i="12" s="1"/>
  <c r="AY117" i="12" s="1"/>
  <c r="AY118" i="12" s="1"/>
  <c r="AY119" i="12" s="1"/>
  <c r="AY120" i="12" s="1"/>
  <c r="AY121" i="12" s="1"/>
  <c r="AY122" i="12" s="1"/>
  <c r="AY123" i="12" s="1"/>
  <c r="AY124" i="12" s="1"/>
  <c r="AY125" i="12" s="1"/>
  <c r="AY126" i="12" s="1"/>
  <c r="AY127" i="12" s="1"/>
  <c r="AY128" i="12" s="1"/>
  <c r="AY129" i="12" s="1"/>
  <c r="AY83" i="12"/>
  <c r="H18" i="12"/>
  <c r="AS6" i="12" s="1"/>
  <c r="BC18" i="12"/>
  <c r="AQ17" i="12"/>
  <c r="BC17" i="12" s="1"/>
  <c r="AQ19" i="12"/>
  <c r="BE104" i="12"/>
  <c r="AU105" i="12"/>
  <c r="AO7" i="12"/>
  <c r="AO1" i="12"/>
  <c r="H17" i="12"/>
  <c r="AO6" i="12" s="1"/>
  <c r="AW16" i="12"/>
  <c r="BF15" i="12"/>
  <c r="AX15" i="12"/>
  <c r="AQ105" i="12"/>
  <c r="BC104" i="12"/>
  <c r="AW18" i="12"/>
  <c r="AM104" i="12"/>
  <c r="AM105" i="12" s="1"/>
  <c r="AM106" i="12" s="1"/>
  <c r="AM107" i="12" s="1"/>
  <c r="AM108" i="12" s="1"/>
  <c r="AM109" i="12" s="1"/>
  <c r="AM110" i="12" s="1"/>
  <c r="AM111" i="12" s="1"/>
  <c r="AM112" i="12" s="1"/>
  <c r="AM113" i="12" s="1"/>
  <c r="AM114" i="12" s="1"/>
  <c r="AM115" i="12" s="1"/>
  <c r="AM116" i="12" s="1"/>
  <c r="AM117" i="12" s="1"/>
  <c r="AM118" i="12" s="1"/>
  <c r="AM119" i="12" s="1"/>
  <c r="AM120" i="12" s="1"/>
  <c r="AM121" i="12" s="1"/>
  <c r="AM122" i="12" s="1"/>
  <c r="AM123" i="12" s="1"/>
  <c r="AM124" i="12" s="1"/>
  <c r="AM125" i="12" s="1"/>
  <c r="AM126" i="12" s="1"/>
  <c r="AM127" i="12" s="1"/>
  <c r="AM128" i="12" s="1"/>
  <c r="AM129" i="12" s="1"/>
  <c r="AM42" i="12"/>
  <c r="AH42" i="12" s="1"/>
  <c r="AH43" i="12" s="1"/>
  <c r="BC22" i="12"/>
  <c r="A5" i="8"/>
  <c r="D4" i="8"/>
  <c r="R3" i="8"/>
  <c r="AH44" i="12" l="1"/>
  <c r="AH45" i="12"/>
  <c r="AW6" i="12"/>
  <c r="AY64" i="12"/>
  <c r="AY65" i="12" s="1"/>
  <c r="AY66" i="12" s="1"/>
  <c r="AY67" i="12" s="1"/>
  <c r="AY68" i="12" s="1"/>
  <c r="AY69" i="12" s="1"/>
  <c r="AY70" i="12" s="1"/>
  <c r="AY71" i="12" s="1"/>
  <c r="AY72" i="12" s="1"/>
  <c r="AY73" i="12" s="1"/>
  <c r="AY74" i="12" s="1"/>
  <c r="AY75" i="12" s="1"/>
  <c r="AY76" i="12" s="1"/>
  <c r="AY77" i="12" s="1"/>
  <c r="AY78" i="12" s="1"/>
  <c r="AY79" i="12" s="1"/>
  <c r="AY80" i="12" s="1"/>
  <c r="AY81" i="12" s="1"/>
  <c r="AY82" i="12" s="1"/>
  <c r="AK83" i="12"/>
  <c r="AK84" i="12" s="1"/>
  <c r="H25" i="12"/>
  <c r="I25" i="12" s="1"/>
  <c r="AC17" i="12" s="1"/>
  <c r="H29" i="12"/>
  <c r="AB22" i="12" s="1"/>
  <c r="AQ19" i="13"/>
  <c r="BC18" i="13"/>
  <c r="AQ17" i="13"/>
  <c r="BC17" i="13" s="1"/>
  <c r="AU19" i="12"/>
  <c r="BE18" i="12"/>
  <c r="AU17" i="12"/>
  <c r="BE17" i="12" s="1"/>
  <c r="D20" i="13"/>
  <c r="BA2" i="13" s="1"/>
  <c r="AY18" i="13" s="1"/>
  <c r="AY17" i="13" s="1"/>
  <c r="BA3" i="13"/>
  <c r="AY22" i="13" s="1"/>
  <c r="AY19" i="13" s="1"/>
  <c r="AY20" i="13" s="1"/>
  <c r="AY21" i="13" s="1"/>
  <c r="AU19" i="13"/>
  <c r="AU17" i="13"/>
  <c r="BE17" i="13" s="1"/>
  <c r="BE18" i="13"/>
  <c r="BA3" i="12"/>
  <c r="AY22" i="12" s="1"/>
  <c r="D20" i="12"/>
  <c r="BB131" i="12"/>
  <c r="BA131" i="12" s="1"/>
  <c r="BB140" i="12"/>
  <c r="BA140" i="12" s="1"/>
  <c r="BB138" i="12"/>
  <c r="BA138" i="12" s="1"/>
  <c r="BB134" i="12"/>
  <c r="BA134" i="12" s="1"/>
  <c r="BB139" i="12"/>
  <c r="BA139" i="12" s="1"/>
  <c r="BB133" i="12"/>
  <c r="BA133" i="12" s="1"/>
  <c r="BA7" i="12"/>
  <c r="BB137" i="12"/>
  <c r="BA137" i="12" s="1"/>
  <c r="BB135" i="12"/>
  <c r="BA135" i="12" s="1"/>
  <c r="BB136" i="12"/>
  <c r="BA136" i="12" s="1"/>
  <c r="BB132" i="12"/>
  <c r="BA132" i="12" s="1"/>
  <c r="H24" i="12"/>
  <c r="C31" i="3" s="1"/>
  <c r="H23" i="12"/>
  <c r="AB15" i="12" s="1"/>
  <c r="AS16" i="13"/>
  <c r="AT16" i="13" s="1"/>
  <c r="AT15" i="13"/>
  <c r="AS18" i="13"/>
  <c r="AS20" i="13" s="1"/>
  <c r="BD16" i="13"/>
  <c r="AW18" i="13"/>
  <c r="AQ106" i="13"/>
  <c r="BC105" i="13"/>
  <c r="AU105" i="13"/>
  <c r="BE104" i="13"/>
  <c r="AO15" i="13"/>
  <c r="BA18" i="13"/>
  <c r="AX15" i="13"/>
  <c r="AW16" i="13"/>
  <c r="BF15" i="13"/>
  <c r="AY104" i="13"/>
  <c r="AY105" i="13" s="1"/>
  <c r="AY106" i="13" s="1"/>
  <c r="AY107" i="13" s="1"/>
  <c r="AY108" i="13" s="1"/>
  <c r="AY109" i="13" s="1"/>
  <c r="AY110" i="13" s="1"/>
  <c r="AY111" i="13" s="1"/>
  <c r="AY112" i="13" s="1"/>
  <c r="AY113" i="13" s="1"/>
  <c r="AY114" i="13" s="1"/>
  <c r="AY115" i="13" s="1"/>
  <c r="AY116" i="13" s="1"/>
  <c r="AY117" i="13" s="1"/>
  <c r="AY118" i="13" s="1"/>
  <c r="AY119" i="13" s="1"/>
  <c r="AY120" i="13" s="1"/>
  <c r="AY121" i="13" s="1"/>
  <c r="AY122" i="13" s="1"/>
  <c r="AY123" i="13" s="1"/>
  <c r="AY124" i="13" s="1"/>
  <c r="AY125" i="13" s="1"/>
  <c r="AY126" i="13" s="1"/>
  <c r="AY127" i="13" s="1"/>
  <c r="AY128" i="13" s="1"/>
  <c r="AY129" i="13" s="1"/>
  <c r="BA16" i="13"/>
  <c r="BB15" i="13"/>
  <c r="AO18" i="13"/>
  <c r="AM83" i="12"/>
  <c r="BF16" i="12"/>
  <c r="BC19" i="12"/>
  <c r="AQ20" i="12"/>
  <c r="BB16" i="12"/>
  <c r="AS16" i="12"/>
  <c r="AT15" i="12"/>
  <c r="BD15" i="12"/>
  <c r="AM43" i="12"/>
  <c r="AM44" i="12" s="1"/>
  <c r="AM45" i="12" s="1"/>
  <c r="AM46" i="12" s="1"/>
  <c r="AM47" i="12" s="1"/>
  <c r="AM48" i="12" s="1"/>
  <c r="AM49" i="12" s="1"/>
  <c r="AM50" i="12" s="1"/>
  <c r="AM51" i="12" s="1"/>
  <c r="AM52" i="12" s="1"/>
  <c r="AM53" i="12" s="1"/>
  <c r="AM54" i="12" s="1"/>
  <c r="AM55" i="12" s="1"/>
  <c r="AM56" i="12" s="1"/>
  <c r="AM57" i="12" s="1"/>
  <c r="AM58" i="12" s="1"/>
  <c r="AM59" i="12" s="1"/>
  <c r="AM60" i="12" s="1"/>
  <c r="AM61" i="12" s="1"/>
  <c r="AM62" i="12" s="1"/>
  <c r="AM23" i="12"/>
  <c r="AM24" i="12" s="1"/>
  <c r="AM25" i="12" s="1"/>
  <c r="AM26" i="12" s="1"/>
  <c r="AM27" i="12" s="1"/>
  <c r="AM28" i="12" s="1"/>
  <c r="AM29" i="12" s="1"/>
  <c r="AM30" i="12" s="1"/>
  <c r="AM31" i="12" s="1"/>
  <c r="AM32" i="12" s="1"/>
  <c r="AM33" i="12" s="1"/>
  <c r="AM34" i="12" s="1"/>
  <c r="AM35" i="12" s="1"/>
  <c r="AM36" i="12" s="1"/>
  <c r="AM37" i="12" s="1"/>
  <c r="AM38" i="12" s="1"/>
  <c r="AM39" i="12" s="1"/>
  <c r="AM40" i="12" s="1"/>
  <c r="AM41" i="12" s="1"/>
  <c r="AO41" i="12" s="1"/>
  <c r="AP41" i="12" s="1"/>
  <c r="AW17" i="12"/>
  <c r="AX17" i="12" s="1"/>
  <c r="AX16" i="12"/>
  <c r="AS18" i="12"/>
  <c r="AW19" i="12"/>
  <c r="AW20" i="12"/>
  <c r="AW22" i="12"/>
  <c r="BF18" i="12"/>
  <c r="BF17" i="12" s="1"/>
  <c r="AW21" i="12"/>
  <c r="AX18" i="12"/>
  <c r="AQ106" i="12"/>
  <c r="BC105" i="12"/>
  <c r="AU106" i="12"/>
  <c r="BE105" i="12"/>
  <c r="AP131" i="12"/>
  <c r="AO131" i="12" s="1"/>
  <c r="AP135" i="12"/>
  <c r="AO135" i="12" s="1"/>
  <c r="AP132" i="12"/>
  <c r="AO132" i="12" s="1"/>
  <c r="AP136" i="12"/>
  <c r="AO136" i="12" s="1"/>
  <c r="AP133" i="12"/>
  <c r="AO133" i="12" s="1"/>
  <c r="AO15" i="12"/>
  <c r="AP137" i="12"/>
  <c r="AO137" i="12" s="1"/>
  <c r="AP138" i="12"/>
  <c r="AO138" i="12" s="1"/>
  <c r="AP140" i="12"/>
  <c r="AO140" i="12" s="1"/>
  <c r="AP134" i="12"/>
  <c r="AO134" i="12" s="1"/>
  <c r="AP139" i="12"/>
  <c r="AO139" i="12" s="1"/>
  <c r="AO42" i="12"/>
  <c r="AP42" i="12" s="1"/>
  <c r="AO18" i="12"/>
  <c r="AY85" i="12"/>
  <c r="AY84" i="12"/>
  <c r="M5" i="8"/>
  <c r="D5" i="8"/>
  <c r="AN69" i="12" l="1"/>
  <c r="AN46" i="12"/>
  <c r="AO46" i="12" s="1"/>
  <c r="AP46" i="12" s="1"/>
  <c r="AN74" i="12"/>
  <c r="AN82" i="12"/>
  <c r="AN53" i="12"/>
  <c r="AO53" i="12" s="1"/>
  <c r="AP53" i="12" s="1"/>
  <c r="AN78" i="12"/>
  <c r="AN80" i="12"/>
  <c r="AN51" i="12"/>
  <c r="AO51" i="12" s="1"/>
  <c r="AP51" i="12" s="1"/>
  <c r="AN56" i="12"/>
  <c r="AO56" i="12" s="1"/>
  <c r="AP56" i="12" s="1"/>
  <c r="AN45" i="12"/>
  <c r="AO45" i="12" s="1"/>
  <c r="AP45" i="12" s="1"/>
  <c r="AN70" i="12"/>
  <c r="AN72" i="12"/>
  <c r="AN75" i="12"/>
  <c r="AN55" i="12"/>
  <c r="AO55" i="12" s="1"/>
  <c r="AP55" i="12" s="1"/>
  <c r="AN52" i="12"/>
  <c r="AO52" i="12" s="1"/>
  <c r="AP52" i="12" s="1"/>
  <c r="AN65" i="12"/>
  <c r="AN79" i="12"/>
  <c r="AN73" i="12"/>
  <c r="AN48" i="12"/>
  <c r="AO48" i="12" s="1"/>
  <c r="AP48" i="12" s="1"/>
  <c r="AN43" i="12"/>
  <c r="AO43" i="12" s="1"/>
  <c r="AP43" i="12" s="1"/>
  <c r="AN64" i="12"/>
  <c r="AN58" i="12"/>
  <c r="AO58" i="12" s="1"/>
  <c r="AP58" i="12" s="1"/>
  <c r="AN71" i="12"/>
  <c r="AN49" i="12"/>
  <c r="AO49" i="12" s="1"/>
  <c r="AP49" i="12" s="1"/>
  <c r="AN44" i="12"/>
  <c r="AO44" i="12" s="1"/>
  <c r="AP44" i="12" s="1"/>
  <c r="AN60" i="12"/>
  <c r="AO60" i="12" s="1"/>
  <c r="AP60" i="12" s="1"/>
  <c r="AN76" i="12"/>
  <c r="AN54" i="12"/>
  <c r="AO54" i="12" s="1"/>
  <c r="AP54" i="12" s="1"/>
  <c r="AN63" i="12"/>
  <c r="AO63" i="12" s="1"/>
  <c r="AP63" i="12" s="1"/>
  <c r="AN62" i="12"/>
  <c r="AO62" i="12" s="1"/>
  <c r="AP62" i="12" s="1"/>
  <c r="AN83" i="12"/>
  <c r="AO83" i="12" s="1"/>
  <c r="AP83" i="12" s="1"/>
  <c r="AN67" i="12"/>
  <c r="AN50" i="12"/>
  <c r="AO50" i="12" s="1"/>
  <c r="AP50" i="12" s="1"/>
  <c r="AN81" i="12"/>
  <c r="AN77" i="12"/>
  <c r="AN57" i="12"/>
  <c r="AO57" i="12" s="1"/>
  <c r="AP57" i="12" s="1"/>
  <c r="AN68" i="12"/>
  <c r="AN66" i="12"/>
  <c r="AN61" i="12"/>
  <c r="AO61" i="12" s="1"/>
  <c r="AP61" i="12" s="1"/>
  <c r="AN47" i="12"/>
  <c r="AO47" i="12" s="1"/>
  <c r="AP47" i="12" s="1"/>
  <c r="AN59" i="12"/>
  <c r="AO59" i="12" s="1"/>
  <c r="AP59" i="12" s="1"/>
  <c r="AH83" i="12"/>
  <c r="AH84" i="12" s="1"/>
  <c r="AB17" i="12"/>
  <c r="AB21" i="12"/>
  <c r="E25" i="12"/>
  <c r="AO34" i="12"/>
  <c r="AP34" i="12" s="1"/>
  <c r="AO28" i="12"/>
  <c r="AP28" i="12" s="1"/>
  <c r="AO32" i="12"/>
  <c r="AP32" i="12" s="1"/>
  <c r="AO24" i="12"/>
  <c r="AP24" i="12" s="1"/>
  <c r="AO25" i="12"/>
  <c r="AP25" i="12" s="1"/>
  <c r="AO26" i="12"/>
  <c r="AP26" i="12" s="1"/>
  <c r="AO39" i="12"/>
  <c r="AP39" i="12" s="1"/>
  <c r="AO37" i="12"/>
  <c r="AP37" i="12" s="1"/>
  <c r="AO23" i="12"/>
  <c r="AP23" i="12" s="1"/>
  <c r="AO30" i="12"/>
  <c r="AP30" i="12" s="1"/>
  <c r="AO33" i="12"/>
  <c r="AP33" i="12" s="1"/>
  <c r="AO27" i="12"/>
  <c r="AP27" i="12" s="1"/>
  <c r="AO31" i="12"/>
  <c r="AP31" i="12" s="1"/>
  <c r="AO38" i="12"/>
  <c r="AP38" i="12" s="1"/>
  <c r="I24" i="12"/>
  <c r="AC16" i="12" s="1"/>
  <c r="C30" i="3"/>
  <c r="AY42" i="12"/>
  <c r="AO35" i="12"/>
  <c r="AP35" i="12" s="1"/>
  <c r="AO40" i="12"/>
  <c r="AP40" i="12" s="1"/>
  <c r="AO29" i="12"/>
  <c r="AP29" i="12" s="1"/>
  <c r="AO36" i="12"/>
  <c r="AP36" i="12" s="1"/>
  <c r="E26" i="12"/>
  <c r="AQ42" i="12" s="1"/>
  <c r="AI42" i="12" s="1"/>
  <c r="AI43" i="12" s="1"/>
  <c r="AB16" i="12"/>
  <c r="BA2" i="12"/>
  <c r="AY18" i="12" s="1"/>
  <c r="H26" i="12"/>
  <c r="BA18" i="12"/>
  <c r="AU20" i="12"/>
  <c r="BE19" i="12"/>
  <c r="I23" i="12"/>
  <c r="AC15" i="12" s="1"/>
  <c r="AU20" i="13"/>
  <c r="BE19" i="13"/>
  <c r="BC19" i="13"/>
  <c r="AQ20" i="13"/>
  <c r="AT20" i="13" s="1"/>
  <c r="BD18" i="13"/>
  <c r="BD17" i="13" s="1"/>
  <c r="AS17" i="13"/>
  <c r="AT17" i="13" s="1"/>
  <c r="AS19" i="13"/>
  <c r="AT19" i="13" s="1"/>
  <c r="AS22" i="13"/>
  <c r="AT22" i="13" s="1"/>
  <c r="AS21" i="13"/>
  <c r="AT18" i="13"/>
  <c r="BA21" i="13"/>
  <c r="BB21" i="13" s="1"/>
  <c r="BA19" i="13"/>
  <c r="BB19" i="13" s="1"/>
  <c r="BA22" i="13"/>
  <c r="BB22" i="13" s="1"/>
  <c r="BB18" i="13"/>
  <c r="BA20" i="13"/>
  <c r="BB20" i="13" s="1"/>
  <c r="AO20" i="13"/>
  <c r="AP20" i="13" s="1"/>
  <c r="AP18" i="13"/>
  <c r="AO22" i="13"/>
  <c r="AP22" i="13" s="1"/>
  <c r="AO21" i="13"/>
  <c r="AP21" i="13" s="1"/>
  <c r="AO19" i="13"/>
  <c r="AP19" i="13" s="1"/>
  <c r="AQ107" i="13"/>
  <c r="BC106" i="13"/>
  <c r="BF16" i="13"/>
  <c r="AP15" i="13"/>
  <c r="AO16" i="13"/>
  <c r="BE105" i="13"/>
  <c r="AU106" i="13"/>
  <c r="BA17" i="13"/>
  <c r="BB17" i="13" s="1"/>
  <c r="BB16" i="13"/>
  <c r="AW17" i="13"/>
  <c r="AX17" i="13" s="1"/>
  <c r="AX16" i="13"/>
  <c r="AX18" i="13"/>
  <c r="AW20" i="13"/>
  <c r="AW22" i="13"/>
  <c r="AW21" i="13"/>
  <c r="AW19" i="13"/>
  <c r="BD18" i="12"/>
  <c r="BD17" i="12" s="1"/>
  <c r="AS22" i="12"/>
  <c r="AT22" i="12" s="1"/>
  <c r="AS21" i="12"/>
  <c r="AT18" i="12"/>
  <c r="AS20" i="12"/>
  <c r="AT20" i="12" s="1"/>
  <c r="AS19" i="12"/>
  <c r="AT19" i="12" s="1"/>
  <c r="BF21" i="12"/>
  <c r="AM84" i="12"/>
  <c r="AM85" i="12"/>
  <c r="AM64" i="12"/>
  <c r="BD16" i="12"/>
  <c r="BF22" i="12"/>
  <c r="AX22" i="12"/>
  <c r="BC20" i="12"/>
  <c r="AQ21" i="12"/>
  <c r="BC21" i="12" s="1"/>
  <c r="AP15" i="12"/>
  <c r="AO16" i="12"/>
  <c r="AO19" i="12"/>
  <c r="AP19" i="12" s="1"/>
  <c r="AO20" i="12"/>
  <c r="AP20" i="12" s="1"/>
  <c r="AO21" i="12"/>
  <c r="AP21" i="12" s="1"/>
  <c r="AO22" i="12"/>
  <c r="AP22" i="12" s="1"/>
  <c r="AP18" i="12"/>
  <c r="AU107" i="12"/>
  <c r="BE106" i="12"/>
  <c r="BC106" i="12"/>
  <c r="AQ107" i="12"/>
  <c r="BF20" i="12"/>
  <c r="AX20" i="12"/>
  <c r="AS17" i="12"/>
  <c r="AT17" i="12" s="1"/>
  <c r="AT16" i="12"/>
  <c r="AY86" i="12"/>
  <c r="AX19" i="12"/>
  <c r="BF19" i="12"/>
  <c r="AI44" i="12" l="1"/>
  <c r="AI45" i="12"/>
  <c r="AH85" i="12"/>
  <c r="AH86" i="12"/>
  <c r="AY43" i="12"/>
  <c r="AY44" i="12" s="1"/>
  <c r="AY45" i="12" s="1"/>
  <c r="AY46" i="12" s="1"/>
  <c r="AY47" i="12" s="1"/>
  <c r="AY48" i="12" s="1"/>
  <c r="AY49" i="12" s="1"/>
  <c r="AY50" i="12" s="1"/>
  <c r="AY51" i="12" s="1"/>
  <c r="AY52" i="12" s="1"/>
  <c r="AY53" i="12" s="1"/>
  <c r="AY54" i="12" s="1"/>
  <c r="AY55" i="12" s="1"/>
  <c r="AY56" i="12" s="1"/>
  <c r="AY57" i="12" s="1"/>
  <c r="AY58" i="12" s="1"/>
  <c r="AY59" i="12" s="1"/>
  <c r="AY60" i="12" s="1"/>
  <c r="AY61" i="12" s="1"/>
  <c r="AY62" i="12" s="1"/>
  <c r="AK42" i="12"/>
  <c r="AK43" i="12" s="1"/>
  <c r="AQ83" i="12"/>
  <c r="BA42" i="12"/>
  <c r="BB42" i="12" s="1"/>
  <c r="AY23" i="12"/>
  <c r="BD22" i="13"/>
  <c r="BE20" i="12"/>
  <c r="AU21" i="12"/>
  <c r="BD20" i="13"/>
  <c r="BD19" i="13"/>
  <c r="AU21" i="13"/>
  <c r="BE21" i="13" s="1"/>
  <c r="BE20" i="13"/>
  <c r="BA21" i="12"/>
  <c r="BA17" i="12"/>
  <c r="BA22" i="12"/>
  <c r="BB22" i="12" s="1"/>
  <c r="BB18" i="12"/>
  <c r="BA20" i="12"/>
  <c r="BA19" i="12"/>
  <c r="AU83" i="12"/>
  <c r="AJ83" i="12" s="1"/>
  <c r="AJ84" i="12" s="1"/>
  <c r="AU42" i="12"/>
  <c r="AJ42" i="12" s="1"/>
  <c r="AJ43" i="12" s="1"/>
  <c r="AB18" i="12"/>
  <c r="I26" i="12"/>
  <c r="AC18" i="12" s="1"/>
  <c r="AQ21" i="13"/>
  <c r="BC21" i="13" s="1"/>
  <c r="BC20" i="13"/>
  <c r="BD21" i="13"/>
  <c r="AY19" i="12"/>
  <c r="AY20" i="12" s="1"/>
  <c r="AY21" i="12" s="1"/>
  <c r="AY17" i="12"/>
  <c r="AX20" i="13"/>
  <c r="BE106" i="13"/>
  <c r="AU107" i="13"/>
  <c r="BC107" i="13"/>
  <c r="AQ108" i="13"/>
  <c r="AX22" i="13"/>
  <c r="AX19" i="13"/>
  <c r="AO17" i="13"/>
  <c r="AP17" i="13" s="1"/>
  <c r="AP16" i="13"/>
  <c r="AM65" i="12"/>
  <c r="AO64" i="12"/>
  <c r="AP64" i="12" s="1"/>
  <c r="AM86" i="12"/>
  <c r="AT21" i="12"/>
  <c r="AY87" i="12"/>
  <c r="AO17" i="12"/>
  <c r="AP17" i="12" s="1"/>
  <c r="AP16" i="12"/>
  <c r="BD22" i="12"/>
  <c r="BD21" i="12"/>
  <c r="BD19" i="12"/>
  <c r="BD20" i="12"/>
  <c r="AQ108" i="12"/>
  <c r="BC107" i="12"/>
  <c r="AU108" i="12"/>
  <c r="BE107" i="12"/>
  <c r="AQ43" i="12"/>
  <c r="BC42" i="12"/>
  <c r="AQ23" i="12"/>
  <c r="AS42" i="12"/>
  <c r="D21" i="6"/>
  <c r="AN133" i="12" l="1"/>
  <c r="AN117" i="12"/>
  <c r="AO117" i="12" s="1"/>
  <c r="AP117" i="12" s="1"/>
  <c r="AN110" i="12"/>
  <c r="AO110" i="12" s="1"/>
  <c r="AP110" i="12" s="1"/>
  <c r="AN124" i="12"/>
  <c r="AO124" i="12" s="1"/>
  <c r="AP124" i="12" s="1"/>
  <c r="AN100" i="12"/>
  <c r="AN92" i="12"/>
  <c r="AN84" i="12"/>
  <c r="AO84" i="12" s="1"/>
  <c r="AP84" i="12" s="1"/>
  <c r="AN129" i="12"/>
  <c r="AO129" i="12" s="1"/>
  <c r="AP129" i="12" s="1"/>
  <c r="AN113" i="12"/>
  <c r="AO113" i="12" s="1"/>
  <c r="AP113" i="12" s="1"/>
  <c r="AN120" i="12"/>
  <c r="AO120" i="12" s="1"/>
  <c r="AP120" i="12" s="1"/>
  <c r="AN136" i="12"/>
  <c r="AN98" i="12"/>
  <c r="AN90" i="12"/>
  <c r="AN112" i="12"/>
  <c r="AO112" i="12" s="1"/>
  <c r="AP112" i="12" s="1"/>
  <c r="AN127" i="12"/>
  <c r="AO127" i="12" s="1"/>
  <c r="AP127" i="12" s="1"/>
  <c r="AN111" i="12"/>
  <c r="AO111" i="12" s="1"/>
  <c r="AP111" i="12" s="1"/>
  <c r="AN140" i="12"/>
  <c r="AN122" i="12"/>
  <c r="AO122" i="12" s="1"/>
  <c r="AP122" i="12" s="1"/>
  <c r="AN97" i="12"/>
  <c r="AN89" i="12"/>
  <c r="AN116" i="12"/>
  <c r="AO116" i="12" s="1"/>
  <c r="AP116" i="12" s="1"/>
  <c r="AN137" i="12"/>
  <c r="AN121" i="12"/>
  <c r="AO121" i="12" s="1"/>
  <c r="AP121" i="12" s="1"/>
  <c r="AN138" i="12"/>
  <c r="AN104" i="12"/>
  <c r="AO104" i="12" s="1"/>
  <c r="AP104" i="12" s="1"/>
  <c r="AN102" i="12"/>
  <c r="AN94" i="12"/>
  <c r="AN87" i="12"/>
  <c r="AN139" i="12"/>
  <c r="AN107" i="12"/>
  <c r="AO107" i="12" s="1"/>
  <c r="AP107" i="12" s="1"/>
  <c r="AN128" i="12"/>
  <c r="AO128" i="12" s="1"/>
  <c r="AP128" i="12" s="1"/>
  <c r="AN88" i="12"/>
  <c r="AN135" i="12"/>
  <c r="AN126" i="12"/>
  <c r="AO126" i="12" s="1"/>
  <c r="AP126" i="12" s="1"/>
  <c r="AN101" i="12"/>
  <c r="AN86" i="12"/>
  <c r="AO86" i="12" s="1"/>
  <c r="AP86" i="12" s="1"/>
  <c r="AN131" i="12"/>
  <c r="AN106" i="12"/>
  <c r="AO106" i="12" s="1"/>
  <c r="AP106" i="12" s="1"/>
  <c r="AN99" i="12"/>
  <c r="AN134" i="12"/>
  <c r="AN114" i="12"/>
  <c r="AO114" i="12" s="1"/>
  <c r="AP114" i="12" s="1"/>
  <c r="AN85" i="12"/>
  <c r="AO85" i="12" s="1"/>
  <c r="AP85" i="12" s="1"/>
  <c r="AN119" i="12"/>
  <c r="AO119" i="12" s="1"/>
  <c r="AP119" i="12" s="1"/>
  <c r="AN93" i="12"/>
  <c r="AN125" i="12"/>
  <c r="AO125" i="12" s="1"/>
  <c r="AP125" i="12" s="1"/>
  <c r="AN130" i="12"/>
  <c r="AO130" i="12" s="1"/>
  <c r="AP130" i="12" s="1"/>
  <c r="AN96" i="12"/>
  <c r="AN132" i="12"/>
  <c r="AN123" i="12"/>
  <c r="AO123" i="12" s="1"/>
  <c r="AP123" i="12" s="1"/>
  <c r="AN95" i="12"/>
  <c r="AN103" i="12"/>
  <c r="AN108" i="12"/>
  <c r="AO108" i="12" s="1"/>
  <c r="AP108" i="12" s="1"/>
  <c r="AN118" i="12"/>
  <c r="AO118" i="12" s="1"/>
  <c r="AP118" i="12" s="1"/>
  <c r="AN105" i="12"/>
  <c r="AO105" i="12" s="1"/>
  <c r="AP105" i="12" s="1"/>
  <c r="AN91" i="12"/>
  <c r="AN109" i="12"/>
  <c r="AO109" i="12" s="1"/>
  <c r="AP109" i="12" s="1"/>
  <c r="AN115" i="12"/>
  <c r="AO115" i="12" s="1"/>
  <c r="AP115" i="12" s="1"/>
  <c r="AR77" i="12"/>
  <c r="AR73" i="12"/>
  <c r="AR54" i="12"/>
  <c r="AR62" i="12"/>
  <c r="AR79" i="12"/>
  <c r="AR66" i="12"/>
  <c r="AR52" i="12"/>
  <c r="AR57" i="12"/>
  <c r="AR63" i="12"/>
  <c r="AS63" i="12" s="1"/>
  <c r="AR69" i="12"/>
  <c r="AR81" i="12"/>
  <c r="AR64" i="12"/>
  <c r="AR74" i="12"/>
  <c r="AR60" i="12"/>
  <c r="AR51" i="12"/>
  <c r="AR43" i="12"/>
  <c r="AS43" i="12" s="1"/>
  <c r="AR72" i="12"/>
  <c r="AR55" i="12"/>
  <c r="AR67" i="12"/>
  <c r="AR50" i="12"/>
  <c r="AR80" i="12"/>
  <c r="AR78" i="12"/>
  <c r="AR71" i="12"/>
  <c r="AR83" i="12"/>
  <c r="AS83" i="12" s="1"/>
  <c r="AR44" i="12"/>
  <c r="AR82" i="12"/>
  <c r="AR46" i="12"/>
  <c r="AR68" i="12"/>
  <c r="AR76" i="12"/>
  <c r="AR59" i="12"/>
  <c r="AR56" i="12"/>
  <c r="AR75" i="12"/>
  <c r="AR61" i="12"/>
  <c r="AR65" i="12"/>
  <c r="AR48" i="12"/>
  <c r="AR70" i="12"/>
  <c r="AR49" i="12"/>
  <c r="AR45" i="12"/>
  <c r="AR53" i="12"/>
  <c r="AR58" i="12"/>
  <c r="AR47" i="12"/>
  <c r="AK86" i="12"/>
  <c r="AK45" i="12"/>
  <c r="AK44" i="12"/>
  <c r="AK85" i="12"/>
  <c r="B23" i="13"/>
  <c r="E23" i="13" s="1"/>
  <c r="AQ85" i="12"/>
  <c r="AQ86" i="12" s="1"/>
  <c r="AI83" i="12"/>
  <c r="AI84" i="12" s="1"/>
  <c r="AJ85" i="12"/>
  <c r="AJ44" i="12"/>
  <c r="AJ45" i="12"/>
  <c r="AJ86" i="12"/>
  <c r="AQ64" i="12"/>
  <c r="BC83" i="12"/>
  <c r="AQ84" i="12"/>
  <c r="BC84" i="12" s="1"/>
  <c r="AX21" i="13"/>
  <c r="AY24" i="12"/>
  <c r="BA23" i="12"/>
  <c r="BB23" i="12" s="1"/>
  <c r="BB20" i="12"/>
  <c r="BB21" i="12"/>
  <c r="AU84" i="12"/>
  <c r="AU85" i="12"/>
  <c r="AU64" i="12"/>
  <c r="BE83" i="12"/>
  <c r="AU43" i="12"/>
  <c r="BE42" i="12"/>
  <c r="AW42" i="12"/>
  <c r="AU23" i="12"/>
  <c r="BB19" i="12"/>
  <c r="BE21" i="12"/>
  <c r="AX21" i="12"/>
  <c r="BB17" i="12"/>
  <c r="AT21" i="13"/>
  <c r="BC108" i="13"/>
  <c r="AQ109" i="13"/>
  <c r="AU108" i="13"/>
  <c r="BE107" i="13"/>
  <c r="BD42" i="12"/>
  <c r="AT42" i="12"/>
  <c r="AU109" i="12"/>
  <c r="BE108" i="12"/>
  <c r="AM87" i="12"/>
  <c r="AQ44" i="12"/>
  <c r="BC43" i="12"/>
  <c r="AY88" i="12"/>
  <c r="AM66" i="12"/>
  <c r="AO65" i="12"/>
  <c r="AP65" i="12" s="1"/>
  <c r="AQ109" i="12"/>
  <c r="BC108" i="12"/>
  <c r="AQ24" i="12"/>
  <c r="BC23" i="12"/>
  <c r="AS23" i="12"/>
  <c r="A15" i="9"/>
  <c r="A14" i="9"/>
  <c r="A13" i="9"/>
  <c r="A12" i="9"/>
  <c r="A11" i="9"/>
  <c r="A10" i="9"/>
  <c r="A9" i="9"/>
  <c r="A8" i="9"/>
  <c r="A7" i="9"/>
  <c r="I4" i="9"/>
  <c r="AS64" i="12" l="1"/>
  <c r="BC64" i="12"/>
  <c r="BC85" i="12"/>
  <c r="AQ65" i="12"/>
  <c r="AS65" i="12" s="1"/>
  <c r="AT83" i="12"/>
  <c r="BD83" i="12"/>
  <c r="AA15" i="13"/>
  <c r="AZ136" i="12"/>
  <c r="AZ120" i="12"/>
  <c r="BA120" i="12" s="1"/>
  <c r="BB120" i="12" s="1"/>
  <c r="AZ119" i="12"/>
  <c r="BA119" i="12" s="1"/>
  <c r="BB119" i="12" s="1"/>
  <c r="AZ115" i="12"/>
  <c r="BA115" i="12" s="1"/>
  <c r="BB115" i="12" s="1"/>
  <c r="AZ100" i="12"/>
  <c r="AZ93" i="12"/>
  <c r="AZ137" i="12"/>
  <c r="AZ132" i="12"/>
  <c r="AZ116" i="12"/>
  <c r="BA116" i="12" s="1"/>
  <c r="BB116" i="12" s="1"/>
  <c r="AZ129" i="12"/>
  <c r="BA129" i="12" s="1"/>
  <c r="BB129" i="12" s="1"/>
  <c r="AZ111" i="12"/>
  <c r="BA111" i="12" s="1"/>
  <c r="BB111" i="12" s="1"/>
  <c r="AZ95" i="12"/>
  <c r="AZ86" i="12"/>
  <c r="BA86" i="12" s="1"/>
  <c r="BB86" i="12" s="1"/>
  <c r="AZ106" i="12"/>
  <c r="BA106" i="12" s="1"/>
  <c r="BB106" i="12" s="1"/>
  <c r="AZ130" i="12"/>
  <c r="BA130" i="12" s="1"/>
  <c r="BB130" i="12" s="1"/>
  <c r="AZ114" i="12"/>
  <c r="BA114" i="12" s="1"/>
  <c r="BB114" i="12" s="1"/>
  <c r="AZ113" i="12"/>
  <c r="BA113" i="12" s="1"/>
  <c r="BB113" i="12" s="1"/>
  <c r="AZ121" i="12"/>
  <c r="BA121" i="12" s="1"/>
  <c r="BB121" i="12" s="1"/>
  <c r="AZ127" i="12"/>
  <c r="BA127" i="12" s="1"/>
  <c r="BB127" i="12" s="1"/>
  <c r="AZ84" i="12"/>
  <c r="BA84" i="12" s="1"/>
  <c r="BB84" i="12" s="1"/>
  <c r="AZ99" i="12"/>
  <c r="AZ140" i="12"/>
  <c r="AZ124" i="12"/>
  <c r="BA124" i="12" s="1"/>
  <c r="BB124" i="12" s="1"/>
  <c r="AZ108" i="12"/>
  <c r="BA108" i="12" s="1"/>
  <c r="BB108" i="12" s="1"/>
  <c r="AZ133" i="12"/>
  <c r="AZ85" i="12"/>
  <c r="BA85" i="12" s="1"/>
  <c r="BB85" i="12" s="1"/>
  <c r="AZ90" i="12"/>
  <c r="AZ96" i="12"/>
  <c r="AZ125" i="12"/>
  <c r="BA125" i="12" s="1"/>
  <c r="BB125" i="12" s="1"/>
  <c r="AZ126" i="12"/>
  <c r="BA126" i="12" s="1"/>
  <c r="BB126" i="12" s="1"/>
  <c r="AZ107" i="12"/>
  <c r="BA107" i="12" s="1"/>
  <c r="BB107" i="12" s="1"/>
  <c r="AZ98" i="12"/>
  <c r="AZ94" i="12"/>
  <c r="AZ122" i="12"/>
  <c r="BA122" i="12" s="1"/>
  <c r="BB122" i="12" s="1"/>
  <c r="AZ117" i="12"/>
  <c r="BA117" i="12" s="1"/>
  <c r="BB117" i="12" s="1"/>
  <c r="AZ101" i="12"/>
  <c r="AZ138" i="12"/>
  <c r="AZ118" i="12"/>
  <c r="BA118" i="12" s="1"/>
  <c r="BB118" i="12" s="1"/>
  <c r="AZ135" i="12"/>
  <c r="AZ87" i="12"/>
  <c r="BA87" i="12" s="1"/>
  <c r="BB87" i="12" s="1"/>
  <c r="AZ89" i="12"/>
  <c r="AZ102" i="12"/>
  <c r="AZ112" i="12"/>
  <c r="BA112" i="12" s="1"/>
  <c r="BB112" i="12" s="1"/>
  <c r="AZ97" i="12"/>
  <c r="AZ131" i="12"/>
  <c r="AZ110" i="12"/>
  <c r="BA110" i="12" s="1"/>
  <c r="BB110" i="12" s="1"/>
  <c r="AZ103" i="12"/>
  <c r="AZ139" i="12"/>
  <c r="AZ88" i="12"/>
  <c r="BA88" i="12" s="1"/>
  <c r="BB88" i="12" s="1"/>
  <c r="AZ92" i="12"/>
  <c r="AZ105" i="12"/>
  <c r="BA105" i="12" s="1"/>
  <c r="BB105" i="12" s="1"/>
  <c r="AZ123" i="12"/>
  <c r="BA123" i="12" s="1"/>
  <c r="BB123" i="12" s="1"/>
  <c r="AZ104" i="12"/>
  <c r="BA104" i="12" s="1"/>
  <c r="BB104" i="12" s="1"/>
  <c r="AZ109" i="12"/>
  <c r="BA109" i="12" s="1"/>
  <c r="BB109" i="12" s="1"/>
  <c r="AZ91" i="12"/>
  <c r="AZ134" i="12"/>
  <c r="AZ128" i="12"/>
  <c r="BA128" i="12" s="1"/>
  <c r="BB128" i="12" s="1"/>
  <c r="AV83" i="12"/>
  <c r="AW83" i="12" s="1"/>
  <c r="AX83" i="12" s="1"/>
  <c r="AV76" i="12"/>
  <c r="AV78" i="12"/>
  <c r="AV55" i="12"/>
  <c r="AV57" i="12"/>
  <c r="AV50" i="12"/>
  <c r="AV73" i="12"/>
  <c r="AV44" i="12"/>
  <c r="AV79" i="12"/>
  <c r="AV45" i="12"/>
  <c r="AV51" i="12"/>
  <c r="AV66" i="12"/>
  <c r="AV82" i="12"/>
  <c r="AV71" i="12"/>
  <c r="AV56" i="12"/>
  <c r="AV48" i="12"/>
  <c r="AV65" i="12"/>
  <c r="AV68" i="12"/>
  <c r="AV43" i="12"/>
  <c r="AW43" i="12" s="1"/>
  <c r="AV60" i="12"/>
  <c r="AV49" i="12"/>
  <c r="AV62" i="12"/>
  <c r="AV58" i="12"/>
  <c r="AV80" i="12"/>
  <c r="AV67" i="12"/>
  <c r="AV46" i="12"/>
  <c r="AV47" i="12"/>
  <c r="AV72" i="12"/>
  <c r="AV77" i="12"/>
  <c r="AV54" i="12"/>
  <c r="AV64" i="12"/>
  <c r="AW64" i="12" s="1"/>
  <c r="AV81" i="12"/>
  <c r="AV52" i="12"/>
  <c r="AV74" i="12"/>
  <c r="AV69" i="12"/>
  <c r="AV63" i="12"/>
  <c r="AW63" i="12" s="1"/>
  <c r="AV53" i="12"/>
  <c r="AV70" i="12"/>
  <c r="AV75" i="12"/>
  <c r="AV61" i="12"/>
  <c r="AV59" i="12"/>
  <c r="AZ83" i="12"/>
  <c r="BA83" i="12" s="1"/>
  <c r="BB83" i="12" s="1"/>
  <c r="AZ75" i="12"/>
  <c r="BA75" i="12" s="1"/>
  <c r="BB75" i="12" s="1"/>
  <c r="AZ67" i="12"/>
  <c r="BA67" i="12" s="1"/>
  <c r="BB67" i="12" s="1"/>
  <c r="AZ59" i="12"/>
  <c r="BA59" i="12" s="1"/>
  <c r="BB59" i="12" s="1"/>
  <c r="AZ51" i="12"/>
  <c r="BA51" i="12" s="1"/>
  <c r="BB51" i="12" s="1"/>
  <c r="AZ47" i="12"/>
  <c r="BA47" i="12" s="1"/>
  <c r="BB47" i="12" s="1"/>
  <c r="AZ81" i="12"/>
  <c r="BA81" i="12" s="1"/>
  <c r="BB81" i="12" s="1"/>
  <c r="AZ73" i="12"/>
  <c r="BA73" i="12" s="1"/>
  <c r="BB73" i="12" s="1"/>
  <c r="AZ65" i="12"/>
  <c r="BA65" i="12" s="1"/>
  <c r="BB65" i="12" s="1"/>
  <c r="AZ57" i="12"/>
  <c r="BA57" i="12" s="1"/>
  <c r="BB57" i="12" s="1"/>
  <c r="AZ49" i="12"/>
  <c r="BA49" i="12" s="1"/>
  <c r="BB49" i="12" s="1"/>
  <c r="AZ80" i="12"/>
  <c r="BA80" i="12" s="1"/>
  <c r="BB80" i="12" s="1"/>
  <c r="AZ72" i="12"/>
  <c r="BA72" i="12" s="1"/>
  <c r="BB72" i="12" s="1"/>
  <c r="AZ64" i="12"/>
  <c r="BA64" i="12" s="1"/>
  <c r="BB64" i="12" s="1"/>
  <c r="AZ56" i="12"/>
  <c r="BA56" i="12" s="1"/>
  <c r="BB56" i="12" s="1"/>
  <c r="AZ48" i="12"/>
  <c r="BA48" i="12" s="1"/>
  <c r="BB48" i="12" s="1"/>
  <c r="AZ77" i="12"/>
  <c r="BA77" i="12" s="1"/>
  <c r="BB77" i="12" s="1"/>
  <c r="AZ69" i="12"/>
  <c r="BA69" i="12" s="1"/>
  <c r="BB69" i="12" s="1"/>
  <c r="AZ61" i="12"/>
  <c r="BA61" i="12" s="1"/>
  <c r="BB61" i="12" s="1"/>
  <c r="AZ53" i="12"/>
  <c r="BA53" i="12" s="1"/>
  <c r="BB53" i="12" s="1"/>
  <c r="AZ44" i="12"/>
  <c r="BA44" i="12" s="1"/>
  <c r="BB44" i="12" s="1"/>
  <c r="AZ70" i="12"/>
  <c r="BA70" i="12" s="1"/>
  <c r="BB70" i="12" s="1"/>
  <c r="AZ54" i="12"/>
  <c r="BA54" i="12" s="1"/>
  <c r="BB54" i="12" s="1"/>
  <c r="AZ68" i="12"/>
  <c r="BA68" i="12" s="1"/>
  <c r="BB68" i="12" s="1"/>
  <c r="AZ52" i="12"/>
  <c r="BA52" i="12" s="1"/>
  <c r="BB52" i="12" s="1"/>
  <c r="AZ82" i="12"/>
  <c r="BA82" i="12" s="1"/>
  <c r="BB82" i="12" s="1"/>
  <c r="AZ66" i="12"/>
  <c r="BA66" i="12" s="1"/>
  <c r="BB66" i="12" s="1"/>
  <c r="AZ50" i="12"/>
  <c r="BA50" i="12" s="1"/>
  <c r="BB50" i="12" s="1"/>
  <c r="AZ78" i="12"/>
  <c r="BA78" i="12" s="1"/>
  <c r="BB78" i="12" s="1"/>
  <c r="AZ46" i="12"/>
  <c r="BA46" i="12" s="1"/>
  <c r="BB46" i="12" s="1"/>
  <c r="AZ76" i="12"/>
  <c r="BA76" i="12" s="1"/>
  <c r="BB76" i="12" s="1"/>
  <c r="AZ45" i="12"/>
  <c r="BA45" i="12" s="1"/>
  <c r="BB45" i="12" s="1"/>
  <c r="AZ79" i="12"/>
  <c r="BA79" i="12" s="1"/>
  <c r="BB79" i="12" s="1"/>
  <c r="AZ63" i="12"/>
  <c r="BA63" i="12" s="1"/>
  <c r="BB63" i="12" s="1"/>
  <c r="AZ43" i="12"/>
  <c r="BA43" i="12" s="1"/>
  <c r="BB43" i="12" s="1"/>
  <c r="AZ62" i="12"/>
  <c r="BA62" i="12" s="1"/>
  <c r="BB62" i="12" s="1"/>
  <c r="AZ60" i="12"/>
  <c r="BA60" i="12" s="1"/>
  <c r="BB60" i="12" s="1"/>
  <c r="AZ55" i="12"/>
  <c r="BA55" i="12" s="1"/>
  <c r="BB55" i="12" s="1"/>
  <c r="AZ74" i="12"/>
  <c r="BA74" i="12" s="1"/>
  <c r="BB74" i="12" s="1"/>
  <c r="AZ71" i="12"/>
  <c r="BA71" i="12" s="1"/>
  <c r="BB71" i="12" s="1"/>
  <c r="AZ58" i="12"/>
  <c r="BA58" i="12" s="1"/>
  <c r="BB58" i="12" s="1"/>
  <c r="BD63" i="12"/>
  <c r="AT63" i="12"/>
  <c r="AI86" i="12"/>
  <c r="AI85" i="12"/>
  <c r="AV125" i="12"/>
  <c r="AV109" i="12"/>
  <c r="AW109" i="12" s="1"/>
  <c r="AV138" i="12"/>
  <c r="AV124" i="12"/>
  <c r="AV95" i="12"/>
  <c r="AV140" i="12"/>
  <c r="AV112" i="12"/>
  <c r="AV137" i="12"/>
  <c r="AV121" i="12"/>
  <c r="AV136" i="12"/>
  <c r="AV104" i="12"/>
  <c r="AW104" i="12" s="1"/>
  <c r="AV101" i="12"/>
  <c r="AV93" i="12"/>
  <c r="AV87" i="12"/>
  <c r="AV135" i="12"/>
  <c r="AV119" i="12"/>
  <c r="AV132" i="12"/>
  <c r="AV103" i="12"/>
  <c r="AV100" i="12"/>
  <c r="AV92" i="12"/>
  <c r="AV86" i="12"/>
  <c r="AV129" i="12"/>
  <c r="AV113" i="12"/>
  <c r="AV126" i="12"/>
  <c r="AV114" i="12"/>
  <c r="AV97" i="12"/>
  <c r="AV89" i="12"/>
  <c r="AV85" i="12"/>
  <c r="AW85" i="12" s="1"/>
  <c r="AV111" i="12"/>
  <c r="AV128" i="12"/>
  <c r="AV88" i="12"/>
  <c r="AV139" i="12"/>
  <c r="AV107" i="12"/>
  <c r="AW107" i="12" s="1"/>
  <c r="AV105" i="12"/>
  <c r="AW105" i="12" s="1"/>
  <c r="AV122" i="12"/>
  <c r="AV133" i="12"/>
  <c r="AV116" i="12"/>
  <c r="AV99" i="12"/>
  <c r="AV84" i="12"/>
  <c r="AW84" i="12" s="1"/>
  <c r="AV127" i="12"/>
  <c r="AV110" i="12"/>
  <c r="AV118" i="12"/>
  <c r="AV120" i="12"/>
  <c r="AV134" i="12"/>
  <c r="AV102" i="12"/>
  <c r="AV91" i="12"/>
  <c r="AV131" i="12"/>
  <c r="AV106" i="12"/>
  <c r="AW106" i="12" s="1"/>
  <c r="AV98" i="12"/>
  <c r="AV108" i="12"/>
  <c r="AW108" i="12" s="1"/>
  <c r="AX108" i="12" s="1"/>
  <c r="AV96" i="12"/>
  <c r="AV123" i="12"/>
  <c r="AV94" i="12"/>
  <c r="AV117" i="12"/>
  <c r="AV90" i="12"/>
  <c r="AV115" i="12"/>
  <c r="AV130" i="12"/>
  <c r="AW130" i="12" s="1"/>
  <c r="AY25" i="12"/>
  <c r="BA24" i="12"/>
  <c r="BB24" i="12" s="1"/>
  <c r="AU24" i="12"/>
  <c r="BE23" i="12"/>
  <c r="AW23" i="12"/>
  <c r="AU44" i="12"/>
  <c r="BE43" i="12"/>
  <c r="BE84" i="12"/>
  <c r="BF42" i="12"/>
  <c r="AX42" i="12"/>
  <c r="AU65" i="12"/>
  <c r="BE64" i="12"/>
  <c r="AU86" i="12"/>
  <c r="BE85" i="12"/>
  <c r="AU109" i="13"/>
  <c r="BE108" i="13"/>
  <c r="BC109" i="13"/>
  <c r="AQ110" i="13"/>
  <c r="AM67" i="12"/>
  <c r="AO66" i="12"/>
  <c r="AP66" i="12" s="1"/>
  <c r="BC44" i="12"/>
  <c r="AQ45" i="12"/>
  <c r="AS44" i="12"/>
  <c r="AM88" i="12"/>
  <c r="AO87" i="12"/>
  <c r="AP87" i="12" s="1"/>
  <c r="AU110" i="12"/>
  <c r="BE109" i="12"/>
  <c r="BC86" i="12"/>
  <c r="AQ87" i="12"/>
  <c r="AY89" i="12"/>
  <c r="BC109" i="12"/>
  <c r="AQ110" i="12"/>
  <c r="BC65" i="12"/>
  <c r="BD23" i="12"/>
  <c r="AT23" i="12"/>
  <c r="AT43" i="12"/>
  <c r="BD43" i="12"/>
  <c r="BC24" i="12"/>
  <c r="AQ25" i="12"/>
  <c r="AS24" i="12"/>
  <c r="BD64" i="12"/>
  <c r="AT64" i="12"/>
  <c r="D6" i="6"/>
  <c r="H1" i="6"/>
  <c r="I1" i="6" s="1"/>
  <c r="AQ66" i="12" l="1"/>
  <c r="AQ67" i="12" s="1"/>
  <c r="BF83" i="12"/>
  <c r="BF108" i="12"/>
  <c r="BF104" i="12"/>
  <c r="AX104" i="12"/>
  <c r="AX106" i="12"/>
  <c r="BF106" i="12"/>
  <c r="BF63" i="12"/>
  <c r="AX63" i="12"/>
  <c r="AX105" i="12"/>
  <c r="BF105" i="12"/>
  <c r="AA17" i="13"/>
  <c r="AA16" i="13"/>
  <c r="AA22" i="13" s="1"/>
  <c r="AA18" i="13"/>
  <c r="AA21" i="13"/>
  <c r="AR134" i="12"/>
  <c r="AR99" i="12"/>
  <c r="AR136" i="12"/>
  <c r="AR120" i="12"/>
  <c r="AR125" i="12"/>
  <c r="AR113" i="12"/>
  <c r="AR111" i="12"/>
  <c r="AR90" i="12"/>
  <c r="AR86" i="12"/>
  <c r="AS86" i="12" s="1"/>
  <c r="BD86" i="12" s="1"/>
  <c r="AR133" i="12"/>
  <c r="AR103" i="12"/>
  <c r="AR127" i="12"/>
  <c r="AR132" i="12"/>
  <c r="AR139" i="12"/>
  <c r="AR89" i="12"/>
  <c r="AR124" i="12"/>
  <c r="AR95" i="12"/>
  <c r="AR123" i="12"/>
  <c r="AR88" i="12"/>
  <c r="AR119" i="12"/>
  <c r="AR110" i="12"/>
  <c r="AR106" i="12"/>
  <c r="AS106" i="12" s="1"/>
  <c r="AR102" i="12"/>
  <c r="AR105" i="12"/>
  <c r="AS105" i="12" s="1"/>
  <c r="AR108" i="12"/>
  <c r="AS108" i="12" s="1"/>
  <c r="AR128" i="12"/>
  <c r="AR92" i="12"/>
  <c r="AR122" i="12"/>
  <c r="AR109" i="12"/>
  <c r="AS109" i="12" s="1"/>
  <c r="BD109" i="12" s="1"/>
  <c r="AR138" i="12"/>
  <c r="AR97" i="12"/>
  <c r="AR116" i="12"/>
  <c r="AR100" i="12"/>
  <c r="AR137" i="12"/>
  <c r="AR98" i="12"/>
  <c r="AR126" i="12"/>
  <c r="AR135" i="12"/>
  <c r="AR96" i="12"/>
  <c r="AR121" i="12"/>
  <c r="AR118" i="12"/>
  <c r="AR104" i="12"/>
  <c r="AS104" i="12" s="1"/>
  <c r="AR84" i="12"/>
  <c r="AS84" i="12" s="1"/>
  <c r="AR107" i="12"/>
  <c r="AS107" i="12" s="1"/>
  <c r="AR91" i="12"/>
  <c r="AR140" i="12"/>
  <c r="AR114" i="12"/>
  <c r="AR101" i="12"/>
  <c r="AR130" i="12"/>
  <c r="AS130" i="12" s="1"/>
  <c r="AR117" i="12"/>
  <c r="AR129" i="12"/>
  <c r="AR112" i="12"/>
  <c r="AR85" i="12"/>
  <c r="AS85" i="12" s="1"/>
  <c r="AR93" i="12"/>
  <c r="AR131" i="12"/>
  <c r="AR87" i="12"/>
  <c r="AS87" i="12" s="1"/>
  <c r="AR94" i="12"/>
  <c r="AR115" i="12"/>
  <c r="AX130" i="12"/>
  <c r="BF130" i="12"/>
  <c r="BF107" i="12"/>
  <c r="AX107" i="12"/>
  <c r="AY26" i="12"/>
  <c r="BA25" i="12"/>
  <c r="BB25" i="12" s="1"/>
  <c r="AX64" i="12"/>
  <c r="BF64" i="12"/>
  <c r="BF84" i="12"/>
  <c r="AX84" i="12"/>
  <c r="AX43" i="12"/>
  <c r="BF43" i="12"/>
  <c r="AW65" i="12"/>
  <c r="AU66" i="12"/>
  <c r="BE65" i="12"/>
  <c r="AW44" i="12"/>
  <c r="AU45" i="12"/>
  <c r="BE44" i="12"/>
  <c r="BF23" i="12"/>
  <c r="AX23" i="12"/>
  <c r="BF85" i="12"/>
  <c r="AX85" i="12"/>
  <c r="AW86" i="12"/>
  <c r="AU87" i="12"/>
  <c r="BE86" i="12"/>
  <c r="AU25" i="12"/>
  <c r="AW24" i="12"/>
  <c r="BE24" i="12"/>
  <c r="AU110" i="13"/>
  <c r="BE109" i="13"/>
  <c r="BC110" i="13"/>
  <c r="AQ111" i="13"/>
  <c r="AY90" i="12"/>
  <c r="BA89" i="12"/>
  <c r="BB89" i="12" s="1"/>
  <c r="AM68" i="12"/>
  <c r="AO67" i="12"/>
  <c r="AP67" i="12" s="1"/>
  <c r="AU111" i="12"/>
  <c r="BE110" i="12"/>
  <c r="AW110" i="12"/>
  <c r="BD65" i="12"/>
  <c r="AT65" i="12"/>
  <c r="BD44" i="12"/>
  <c r="AT44" i="12"/>
  <c r="AX109" i="12"/>
  <c r="BF109" i="12"/>
  <c r="BC110" i="12"/>
  <c r="AQ111" i="12"/>
  <c r="AS110" i="12"/>
  <c r="BC87" i="12"/>
  <c r="AQ88" i="12"/>
  <c r="AQ46" i="12"/>
  <c r="BC45" i="12"/>
  <c r="AS45" i="12"/>
  <c r="BD24" i="12"/>
  <c r="AT24" i="12"/>
  <c r="AM89" i="12"/>
  <c r="AO88" i="12"/>
  <c r="AP88" i="12" s="1"/>
  <c r="BC25" i="12"/>
  <c r="AQ26" i="12"/>
  <c r="AS25" i="12"/>
  <c r="Q33" i="6"/>
  <c r="Q18" i="6"/>
  <c r="AS66" i="12" l="1"/>
  <c r="BD66" i="12" s="1"/>
  <c r="BC66" i="12"/>
  <c r="AT86" i="12"/>
  <c r="AT107" i="12"/>
  <c r="BD107" i="12"/>
  <c r="AT109" i="12"/>
  <c r="BD85" i="12"/>
  <c r="AT85" i="12"/>
  <c r="AT84" i="12"/>
  <c r="BD84" i="12"/>
  <c r="BD130" i="12"/>
  <c r="AT130" i="12"/>
  <c r="BD105" i="12"/>
  <c r="AT105" i="12"/>
  <c r="AT106" i="12"/>
  <c r="BD106" i="12"/>
  <c r="AT104" i="12"/>
  <c r="BD104" i="12"/>
  <c r="BD108" i="12"/>
  <c r="AT108" i="12"/>
  <c r="AY27" i="12"/>
  <c r="BA26" i="12"/>
  <c r="BB26" i="12" s="1"/>
  <c r="AX65" i="12"/>
  <c r="BF65" i="12"/>
  <c r="AX24" i="12"/>
  <c r="BF24" i="12"/>
  <c r="BE66" i="12"/>
  <c r="AU67" i="12"/>
  <c r="AW66" i="12"/>
  <c r="AU26" i="12"/>
  <c r="BE25" i="12"/>
  <c r="AW25" i="12"/>
  <c r="AU46" i="12"/>
  <c r="AW45" i="12"/>
  <c r="BE45" i="12"/>
  <c r="AU88" i="12"/>
  <c r="AW87" i="12"/>
  <c r="BE87" i="12"/>
  <c r="AX44" i="12"/>
  <c r="BF44" i="12"/>
  <c r="AX86" i="12"/>
  <c r="BF86" i="12"/>
  <c r="BE110" i="13"/>
  <c r="AU111" i="13"/>
  <c r="BC111" i="13"/>
  <c r="AQ112" i="13"/>
  <c r="BD87" i="12"/>
  <c r="AT87" i="12"/>
  <c r="BC111" i="12"/>
  <c r="AQ112" i="12"/>
  <c r="AS111" i="12"/>
  <c r="AM69" i="12"/>
  <c r="AO68" i="12"/>
  <c r="AP68" i="12" s="1"/>
  <c r="AQ89" i="12"/>
  <c r="BC88" i="12"/>
  <c r="AS88" i="12"/>
  <c r="AM90" i="12"/>
  <c r="AO89" i="12"/>
  <c r="AP89" i="12" s="1"/>
  <c r="BC67" i="12"/>
  <c r="AQ68" i="12"/>
  <c r="AS67" i="12"/>
  <c r="AT45" i="12"/>
  <c r="BD45" i="12"/>
  <c r="AY91" i="12"/>
  <c r="BA90" i="12"/>
  <c r="BB90" i="12" s="1"/>
  <c r="BE111" i="12"/>
  <c r="AU112" i="12"/>
  <c r="AW111" i="12"/>
  <c r="BD25" i="12"/>
  <c r="AT25" i="12"/>
  <c r="BD110" i="12"/>
  <c r="AT110" i="12"/>
  <c r="AQ27" i="12"/>
  <c r="BC26" i="12"/>
  <c r="AS26" i="12"/>
  <c r="BC46" i="12"/>
  <c r="AQ47" i="12"/>
  <c r="AS46" i="12"/>
  <c r="BF110" i="12"/>
  <c r="AX110" i="12"/>
  <c r="AT66" i="12" l="1"/>
  <c r="AY28" i="12"/>
  <c r="BA27" i="12"/>
  <c r="BB27" i="12" s="1"/>
  <c r="AU27" i="12"/>
  <c r="BE26" i="12"/>
  <c r="AW26" i="12"/>
  <c r="BF87" i="12"/>
  <c r="AX87" i="12"/>
  <c r="AX66" i="12"/>
  <c r="BF66" i="12"/>
  <c r="BE88" i="12"/>
  <c r="AU89" i="12"/>
  <c r="AW88" i="12"/>
  <c r="AW67" i="12"/>
  <c r="AU68" i="12"/>
  <c r="BE67" i="12"/>
  <c r="AU47" i="12"/>
  <c r="AW46" i="12"/>
  <c r="BE46" i="12"/>
  <c r="BF45" i="12"/>
  <c r="AX45" i="12"/>
  <c r="AX25" i="12"/>
  <c r="BF25" i="12"/>
  <c r="BC112" i="13"/>
  <c r="AQ113" i="13"/>
  <c r="BE111" i="13"/>
  <c r="AU112" i="13"/>
  <c r="AQ90" i="12"/>
  <c r="BC89" i="12"/>
  <c r="AS89" i="12"/>
  <c r="BE112" i="12"/>
  <c r="AU113" i="12"/>
  <c r="AW112" i="12"/>
  <c r="BD111" i="12"/>
  <c r="AT111" i="12"/>
  <c r="AY92" i="12"/>
  <c r="BA91" i="12"/>
  <c r="BB91" i="12" s="1"/>
  <c r="BF111" i="12"/>
  <c r="AX111" i="12"/>
  <c r="AM70" i="12"/>
  <c r="AO69" i="12"/>
  <c r="AP69" i="12" s="1"/>
  <c r="BD46" i="12"/>
  <c r="AT46" i="12"/>
  <c r="AM91" i="12"/>
  <c r="AO90" i="12"/>
  <c r="AP90" i="12" s="1"/>
  <c r="BC27" i="12"/>
  <c r="AQ28" i="12"/>
  <c r="AS27" i="12"/>
  <c r="BC112" i="12"/>
  <c r="AQ113" i="12"/>
  <c r="AS112" i="12"/>
  <c r="AQ48" i="12"/>
  <c r="BC47" i="12"/>
  <c r="AS47" i="12"/>
  <c r="BD88" i="12"/>
  <c r="AT88" i="12"/>
  <c r="AT26" i="12"/>
  <c r="BD26" i="12"/>
  <c r="AQ69" i="12"/>
  <c r="BC68" i="12"/>
  <c r="AS68" i="12"/>
  <c r="BD67" i="12"/>
  <c r="AT67" i="12"/>
  <c r="F38" i="3"/>
  <c r="F37" i="3"/>
  <c r="A16" i="6"/>
  <c r="A15" i="6"/>
  <c r="A214" i="7" l="1"/>
  <c r="A134" i="7"/>
  <c r="A114" i="7"/>
  <c r="A154" i="7"/>
  <c r="A234" i="7"/>
  <c r="A34" i="7"/>
  <c r="A74" i="7"/>
  <c r="A174" i="7"/>
  <c r="A194" i="7"/>
  <c r="A94" i="7"/>
  <c r="A54" i="7"/>
  <c r="A14" i="7"/>
  <c r="A35" i="7"/>
  <c r="A235" i="7"/>
  <c r="A155" i="7"/>
  <c r="A75" i="7"/>
  <c r="A175" i="7"/>
  <c r="A195" i="7"/>
  <c r="A95" i="7"/>
  <c r="A55" i="7"/>
  <c r="A215" i="7"/>
  <c r="A135" i="7"/>
  <c r="A15" i="7"/>
  <c r="A115" i="7"/>
  <c r="AY29" i="12"/>
  <c r="BA28" i="12"/>
  <c r="BB28" i="12" s="1"/>
  <c r="BE47" i="12"/>
  <c r="AW47" i="12"/>
  <c r="AU48" i="12"/>
  <c r="AX46" i="12"/>
  <c r="BF46" i="12"/>
  <c r="AU69" i="12"/>
  <c r="BE68" i="12"/>
  <c r="AW68" i="12"/>
  <c r="AX67" i="12"/>
  <c r="BF67" i="12"/>
  <c r="BF26" i="12"/>
  <c r="AX26" i="12"/>
  <c r="AX88" i="12"/>
  <c r="BF88" i="12"/>
  <c r="BE89" i="12"/>
  <c r="AW89" i="12"/>
  <c r="AU90" i="12"/>
  <c r="AU28" i="12"/>
  <c r="BE27" i="12"/>
  <c r="AW27" i="12"/>
  <c r="AQ114" i="13"/>
  <c r="BC113" i="13"/>
  <c r="AU113" i="13"/>
  <c r="BE112" i="13"/>
  <c r="AU114" i="12"/>
  <c r="BE113" i="12"/>
  <c r="AW113" i="12"/>
  <c r="BC113" i="12"/>
  <c r="AQ114" i="12"/>
  <c r="AS113" i="12"/>
  <c r="AX112" i="12"/>
  <c r="BF112" i="12"/>
  <c r="AY93" i="12"/>
  <c r="BA92" i="12"/>
  <c r="BB92" i="12" s="1"/>
  <c r="BD89" i="12"/>
  <c r="AT89" i="12"/>
  <c r="BC28" i="12"/>
  <c r="AQ29" i="12"/>
  <c r="AS28" i="12"/>
  <c r="AT112" i="12"/>
  <c r="BD112" i="12"/>
  <c r="AM71" i="12"/>
  <c r="AO70" i="12"/>
  <c r="AP70" i="12" s="1"/>
  <c r="BD68" i="12"/>
  <c r="AT68" i="12"/>
  <c r="AQ70" i="12"/>
  <c r="BC69" i="12"/>
  <c r="AS69" i="12"/>
  <c r="AT47" i="12"/>
  <c r="BD47" i="12"/>
  <c r="AQ49" i="12"/>
  <c r="BC48" i="12"/>
  <c r="AS48" i="12"/>
  <c r="AM92" i="12"/>
  <c r="AO91" i="12"/>
  <c r="AP91" i="12" s="1"/>
  <c r="AT27" i="12"/>
  <c r="BD27" i="12"/>
  <c r="BC90" i="12"/>
  <c r="AQ91" i="12"/>
  <c r="AS90" i="12"/>
  <c r="F35" i="3"/>
  <c r="A31" i="6"/>
  <c r="E16" i="6"/>
  <c r="E15" i="6"/>
  <c r="A30" i="6"/>
  <c r="F15" i="6"/>
  <c r="A17" i="6"/>
  <c r="E52" i="3"/>
  <c r="F36" i="3"/>
  <c r="A18" i="6"/>
  <c r="E53" i="3"/>
  <c r="A14" i="6"/>
  <c r="F33" i="3"/>
  <c r="F32" i="3"/>
  <c r="F12" i="3"/>
  <c r="F11" i="3"/>
  <c r="G7" i="3"/>
  <c r="G6" i="3"/>
  <c r="G5" i="3"/>
  <c r="D9" i="3" s="1"/>
  <c r="B19" i="1"/>
  <c r="I15" i="1"/>
  <c r="E15" i="1"/>
  <c r="G38" i="3" s="1"/>
  <c r="H38" i="3" s="1"/>
  <c r="D15" i="1"/>
  <c r="I14" i="1"/>
  <c r="E14" i="1"/>
  <c r="G37" i="3" s="1"/>
  <c r="H37" i="3" s="1"/>
  <c r="D14" i="1"/>
  <c r="I13" i="1"/>
  <c r="D13" i="1"/>
  <c r="I12" i="1"/>
  <c r="E115" i="7" l="1"/>
  <c r="F115" i="7" s="1"/>
  <c r="B115" i="7"/>
  <c r="B15" i="7"/>
  <c r="C15" i="7" s="1"/>
  <c r="E15" i="7"/>
  <c r="F15" i="7" s="1"/>
  <c r="B155" i="7"/>
  <c r="C155" i="7" s="1"/>
  <c r="E155" i="7"/>
  <c r="F155" i="7" s="1"/>
  <c r="B74" i="7"/>
  <c r="C74" i="7" s="1"/>
  <c r="D74" i="7" s="1"/>
  <c r="E74" i="7"/>
  <c r="F74" i="7" s="1"/>
  <c r="E174" i="7"/>
  <c r="F174" i="7" s="1"/>
  <c r="B174" i="7"/>
  <c r="B135" i="7"/>
  <c r="E135" i="7"/>
  <c r="F135" i="7" s="1"/>
  <c r="E235" i="7"/>
  <c r="F235" i="7" s="1"/>
  <c r="B235" i="7"/>
  <c r="B34" i="7"/>
  <c r="C34" i="7" s="1"/>
  <c r="D34" i="7" s="1"/>
  <c r="E34" i="7"/>
  <c r="F34" i="7" s="1"/>
  <c r="F16" i="6"/>
  <c r="Q16" i="6" s="1"/>
  <c r="A236" i="7"/>
  <c r="A176" i="7"/>
  <c r="A76" i="7"/>
  <c r="A36" i="7"/>
  <c r="A196" i="7"/>
  <c r="A96" i="7"/>
  <c r="A56" i="7"/>
  <c r="A216" i="7"/>
  <c r="A136" i="7"/>
  <c r="A16" i="7"/>
  <c r="A116" i="7"/>
  <c r="A156" i="7"/>
  <c r="E215" i="7"/>
  <c r="F215" i="7" s="1"/>
  <c r="B215" i="7"/>
  <c r="E35" i="7"/>
  <c r="F35" i="7" s="1"/>
  <c r="B35" i="7"/>
  <c r="B234" i="7"/>
  <c r="E234" i="7"/>
  <c r="F234" i="7" s="1"/>
  <c r="A193" i="8"/>
  <c r="A173" i="8"/>
  <c r="A113" i="8"/>
  <c r="A93" i="8"/>
  <c r="A73" i="8"/>
  <c r="A53" i="8"/>
  <c r="A233" i="8"/>
  <c r="A153" i="8"/>
  <c r="A213" i="8"/>
  <c r="A133" i="8"/>
  <c r="A33" i="8"/>
  <c r="A13" i="8"/>
  <c r="E55" i="7"/>
  <c r="F55" i="7" s="1"/>
  <c r="B55" i="7"/>
  <c r="E14" i="7"/>
  <c r="F14" i="7" s="1"/>
  <c r="B14" i="7"/>
  <c r="E154" i="7"/>
  <c r="F154" i="7" s="1"/>
  <c r="B154" i="7"/>
  <c r="E95" i="7"/>
  <c r="F95" i="7" s="1"/>
  <c r="B95" i="7"/>
  <c r="B54" i="7"/>
  <c r="C54" i="7" s="1"/>
  <c r="E54" i="7"/>
  <c r="F54" i="7" s="1"/>
  <c r="B114" i="7"/>
  <c r="C114" i="7" s="1"/>
  <c r="E114" i="7"/>
  <c r="F114" i="7" s="1"/>
  <c r="A13" i="7"/>
  <c r="A213" i="7"/>
  <c r="A113" i="7"/>
  <c r="A133" i="7"/>
  <c r="A153" i="7"/>
  <c r="A73" i="7"/>
  <c r="A233" i="7"/>
  <c r="A33" i="7"/>
  <c r="A173" i="7"/>
  <c r="A193" i="7"/>
  <c r="A93" i="7"/>
  <c r="A53" i="7"/>
  <c r="E195" i="7"/>
  <c r="F195" i="7" s="1"/>
  <c r="B195" i="7"/>
  <c r="B94" i="7"/>
  <c r="C94" i="7" s="1"/>
  <c r="D94" i="7" s="1"/>
  <c r="E94" i="7"/>
  <c r="F94" i="7" s="1"/>
  <c r="E134" i="7"/>
  <c r="F134" i="7" s="1"/>
  <c r="B134" i="7"/>
  <c r="E75" i="7"/>
  <c r="F75" i="7" s="1"/>
  <c r="B75" i="7"/>
  <c r="E175" i="7"/>
  <c r="B175" i="7"/>
  <c r="C175" i="7" s="1"/>
  <c r="E194" i="7"/>
  <c r="F194" i="7" s="1"/>
  <c r="B194" i="7"/>
  <c r="B214" i="7"/>
  <c r="C214" i="7" s="1"/>
  <c r="D214" i="7" s="1"/>
  <c r="E214" i="7"/>
  <c r="F214" i="7" s="1"/>
  <c r="A177" i="7"/>
  <c r="A137" i="7"/>
  <c r="A97" i="7"/>
  <c r="A157" i="7"/>
  <c r="A37" i="7"/>
  <c r="A117" i="7"/>
  <c r="A217" i="7"/>
  <c r="A237" i="7"/>
  <c r="A17" i="7"/>
  <c r="A197" i="7"/>
  <c r="A57" i="7"/>
  <c r="A77" i="7"/>
  <c r="AY30" i="12"/>
  <c r="BA29" i="12"/>
  <c r="BB29" i="12" s="1"/>
  <c r="BF27" i="12"/>
  <c r="AX27" i="12"/>
  <c r="AW69" i="12"/>
  <c r="AU70" i="12"/>
  <c r="BE69" i="12"/>
  <c r="BE48" i="12"/>
  <c r="AU49" i="12"/>
  <c r="AW48" i="12"/>
  <c r="BF89" i="12"/>
  <c r="AX89" i="12"/>
  <c r="AW28" i="12"/>
  <c r="AU29" i="12"/>
  <c r="BE28" i="12"/>
  <c r="BF47" i="12"/>
  <c r="AX47" i="12"/>
  <c r="BF68" i="12"/>
  <c r="AX68" i="12"/>
  <c r="AW90" i="12"/>
  <c r="AU91" i="12"/>
  <c r="BE90" i="12"/>
  <c r="BC114" i="13"/>
  <c r="AQ115" i="13"/>
  <c r="AU114" i="13"/>
  <c r="BE113" i="13"/>
  <c r="AT69" i="12"/>
  <c r="BD69" i="12"/>
  <c r="BD90" i="12"/>
  <c r="AT90" i="12"/>
  <c r="AQ92" i="12"/>
  <c r="BC91" i="12"/>
  <c r="AS91" i="12"/>
  <c r="BD28" i="12"/>
  <c r="AT28" i="12"/>
  <c r="AM93" i="12"/>
  <c r="AO92" i="12"/>
  <c r="AP92" i="12" s="1"/>
  <c r="BD48" i="12"/>
  <c r="AT48" i="12"/>
  <c r="AM72" i="12"/>
  <c r="AO71" i="12"/>
  <c r="AP71" i="12" s="1"/>
  <c r="AX113" i="12"/>
  <c r="BF113" i="12"/>
  <c r="BC114" i="12"/>
  <c r="AQ115" i="12"/>
  <c r="AS114" i="12"/>
  <c r="AQ50" i="12"/>
  <c r="BC49" i="12"/>
  <c r="AS49" i="12"/>
  <c r="AQ71" i="12"/>
  <c r="BC70" i="12"/>
  <c r="AS70" i="12"/>
  <c r="AY94" i="12"/>
  <c r="BA93" i="12"/>
  <c r="BB93" i="12" s="1"/>
  <c r="BD113" i="12"/>
  <c r="AT113" i="12"/>
  <c r="BC29" i="12"/>
  <c r="AQ30" i="12"/>
  <c r="AS29" i="12"/>
  <c r="AU115" i="12"/>
  <c r="BE114" i="12"/>
  <c r="AW114" i="12"/>
  <c r="F31" i="3"/>
  <c r="E30" i="6"/>
  <c r="F30" i="6"/>
  <c r="E31" i="6"/>
  <c r="A13" i="6"/>
  <c r="E48" i="3"/>
  <c r="A12" i="6"/>
  <c r="E47" i="3"/>
  <c r="A32" i="6"/>
  <c r="F31" i="6" s="1"/>
  <c r="E17" i="6"/>
  <c r="A11" i="6"/>
  <c r="E46" i="3"/>
  <c r="F34" i="3"/>
  <c r="E14" i="6"/>
  <c r="A29" i="6"/>
  <c r="F14" i="6"/>
  <c r="F15" i="1"/>
  <c r="A33" i="6"/>
  <c r="E13" i="1"/>
  <c r="G36" i="3" s="1"/>
  <c r="H36" i="3" s="1"/>
  <c r="G53" i="3"/>
  <c r="F53" i="3" s="1"/>
  <c r="H53" i="3" s="1"/>
  <c r="F14" i="1"/>
  <c r="D17" i="6" s="1"/>
  <c r="D32" i="6" s="1"/>
  <c r="D12" i="1"/>
  <c r="I11" i="1"/>
  <c r="D11" i="1"/>
  <c r="I10" i="1"/>
  <c r="G15" i="7" l="1"/>
  <c r="I175" i="7"/>
  <c r="H214" i="7"/>
  <c r="F39" i="3"/>
  <c r="G54" i="7"/>
  <c r="I54" i="7"/>
  <c r="G214" i="7"/>
  <c r="G175" i="7"/>
  <c r="I214" i="7"/>
  <c r="I155" i="7"/>
  <c r="D155" i="7"/>
  <c r="H155" i="7" s="1"/>
  <c r="G155" i="7"/>
  <c r="I114" i="7"/>
  <c r="G114" i="7"/>
  <c r="D114" i="7"/>
  <c r="H114" i="7" s="1"/>
  <c r="A132" i="8"/>
  <c r="A32" i="8"/>
  <c r="A192" i="8"/>
  <c r="A212" i="8"/>
  <c r="A172" i="8"/>
  <c r="A72" i="8"/>
  <c r="A52" i="8"/>
  <c r="A232" i="8"/>
  <c r="A152" i="8"/>
  <c r="A112" i="8"/>
  <c r="A92" i="8"/>
  <c r="A12" i="8"/>
  <c r="C194" i="7"/>
  <c r="B33" i="8"/>
  <c r="C33" i="8" s="1"/>
  <c r="D33" i="8" s="1"/>
  <c r="G33" i="8" s="1"/>
  <c r="F33" i="8"/>
  <c r="I33" i="8" s="1"/>
  <c r="A191" i="7"/>
  <c r="A171" i="7"/>
  <c r="A91" i="7"/>
  <c r="A51" i="7"/>
  <c r="A211" i="7"/>
  <c r="A111" i="7"/>
  <c r="A11" i="7"/>
  <c r="A151" i="7"/>
  <c r="A71" i="7"/>
  <c r="A231" i="7"/>
  <c r="A31" i="7"/>
  <c r="A131" i="7"/>
  <c r="B233" i="7"/>
  <c r="C233" i="7" s="1"/>
  <c r="E233" i="7"/>
  <c r="F233" i="7" s="1"/>
  <c r="F213" i="8"/>
  <c r="I213" i="8" s="1"/>
  <c r="B213" i="8"/>
  <c r="C213" i="8" s="1"/>
  <c r="D213" i="8" s="1"/>
  <c r="G213" i="8" s="1"/>
  <c r="B193" i="8"/>
  <c r="C193" i="8" s="1"/>
  <c r="D193" i="8" s="1"/>
  <c r="G193" i="8" s="1"/>
  <c r="F193" i="8"/>
  <c r="I193" i="8" s="1"/>
  <c r="E116" i="7"/>
  <c r="F116" i="7" s="1"/>
  <c r="B116" i="7"/>
  <c r="C116" i="7" s="1"/>
  <c r="B76" i="7"/>
  <c r="E76" i="7"/>
  <c r="F76" i="7" s="1"/>
  <c r="H34" i="7"/>
  <c r="J34" i="7"/>
  <c r="G74" i="7"/>
  <c r="F113" i="8"/>
  <c r="H113" i="8" s="1"/>
  <c r="B113" i="8"/>
  <c r="C113" i="8" s="1"/>
  <c r="D113" i="8" s="1"/>
  <c r="G113" i="8" s="1"/>
  <c r="F175" i="7"/>
  <c r="B33" i="7"/>
  <c r="E33" i="7"/>
  <c r="F33" i="7" s="1"/>
  <c r="D175" i="7"/>
  <c r="I94" i="7"/>
  <c r="C195" i="7"/>
  <c r="B73" i="7"/>
  <c r="E73" i="7"/>
  <c r="F73" i="7" s="1"/>
  <c r="C154" i="7"/>
  <c r="F153" i="8"/>
  <c r="I153" i="8" s="1"/>
  <c r="B153" i="8"/>
  <c r="C153" i="8" s="1"/>
  <c r="D153" i="8" s="1"/>
  <c r="G153" i="8" s="1"/>
  <c r="C35" i="7"/>
  <c r="E16" i="7"/>
  <c r="F16" i="7" s="1"/>
  <c r="B16" i="7"/>
  <c r="E176" i="7"/>
  <c r="F176" i="7" s="1"/>
  <c r="B176" i="7"/>
  <c r="C176" i="7" s="1"/>
  <c r="I74" i="7"/>
  <c r="A52" i="7"/>
  <c r="A12" i="7"/>
  <c r="A212" i="7"/>
  <c r="A112" i="7"/>
  <c r="A152" i="7"/>
  <c r="A72" i="7"/>
  <c r="A232" i="7"/>
  <c r="A32" i="7"/>
  <c r="A132" i="7"/>
  <c r="A172" i="7"/>
  <c r="A192" i="7"/>
  <c r="A92" i="7"/>
  <c r="J214" i="7"/>
  <c r="G94" i="7"/>
  <c r="E153" i="7"/>
  <c r="F153" i="7" s="1"/>
  <c r="B153" i="7"/>
  <c r="F233" i="8"/>
  <c r="I233" i="8" s="1"/>
  <c r="B233" i="8"/>
  <c r="C233" i="8" s="1"/>
  <c r="D233" i="8" s="1"/>
  <c r="G233" i="8" s="1"/>
  <c r="B136" i="7"/>
  <c r="C136" i="7" s="1"/>
  <c r="E136" i="7"/>
  <c r="F136" i="7" s="1"/>
  <c r="E236" i="7"/>
  <c r="F236" i="7" s="1"/>
  <c r="B236" i="7"/>
  <c r="C135" i="7"/>
  <c r="B173" i="7"/>
  <c r="E173" i="7"/>
  <c r="F173" i="7" s="1"/>
  <c r="C14" i="7"/>
  <c r="B196" i="7"/>
  <c r="C196" i="7" s="1"/>
  <c r="E196" i="7"/>
  <c r="F196" i="7" s="1"/>
  <c r="C174" i="7"/>
  <c r="C134" i="7"/>
  <c r="F133" i="8"/>
  <c r="H133" i="8" s="1"/>
  <c r="B133" i="8"/>
  <c r="C133" i="8" s="1"/>
  <c r="D133" i="8" s="1"/>
  <c r="G133" i="8" s="1"/>
  <c r="E36" i="7"/>
  <c r="F36" i="7" s="1"/>
  <c r="B36" i="7"/>
  <c r="C75" i="7"/>
  <c r="B53" i="7"/>
  <c r="C53" i="7" s="1"/>
  <c r="E53" i="7"/>
  <c r="F53" i="7" s="1"/>
  <c r="E133" i="7"/>
  <c r="F133" i="7" s="1"/>
  <c r="B133" i="7"/>
  <c r="C55" i="7"/>
  <c r="F53" i="8"/>
  <c r="I53" i="8" s="1"/>
  <c r="B53" i="8"/>
  <c r="C53" i="8" s="1"/>
  <c r="D53" i="8" s="1"/>
  <c r="G53" i="8" s="1"/>
  <c r="E216" i="7"/>
  <c r="F216" i="7" s="1"/>
  <c r="B216" i="7"/>
  <c r="A214" i="8"/>
  <c r="A174" i="8"/>
  <c r="A114" i="8"/>
  <c r="A94" i="8"/>
  <c r="A234" i="8"/>
  <c r="A154" i="8"/>
  <c r="A74" i="8"/>
  <c r="A134" i="8"/>
  <c r="A34" i="8"/>
  <c r="A54" i="8"/>
  <c r="A194" i="8"/>
  <c r="A14" i="8"/>
  <c r="I15" i="7"/>
  <c r="B13" i="7"/>
  <c r="C13" i="7" s="1"/>
  <c r="E13" i="7"/>
  <c r="F13" i="7" s="1"/>
  <c r="B173" i="8"/>
  <c r="C173" i="8" s="1"/>
  <c r="D173" i="8" s="1"/>
  <c r="G173" i="8" s="1"/>
  <c r="F173" i="8"/>
  <c r="H173" i="8" s="1"/>
  <c r="B156" i="7"/>
  <c r="E156" i="7"/>
  <c r="F156" i="7" s="1"/>
  <c r="A130" i="7"/>
  <c r="A190" i="7"/>
  <c r="A170" i="7"/>
  <c r="A10" i="7"/>
  <c r="A90" i="7"/>
  <c r="A210" i="7"/>
  <c r="A110" i="7"/>
  <c r="A70" i="7"/>
  <c r="A50" i="7"/>
  <c r="A230" i="7"/>
  <c r="A150" i="7"/>
  <c r="A30" i="7"/>
  <c r="B93" i="7"/>
  <c r="E93" i="7"/>
  <c r="F93" i="7" s="1"/>
  <c r="E113" i="7"/>
  <c r="F113" i="7" s="1"/>
  <c r="B113" i="7"/>
  <c r="C113" i="7" s="1"/>
  <c r="C95" i="7"/>
  <c r="B73" i="8"/>
  <c r="C73" i="8" s="1"/>
  <c r="D73" i="8" s="1"/>
  <c r="G73" i="8" s="1"/>
  <c r="F73" i="8"/>
  <c r="I73" i="8" s="1"/>
  <c r="E56" i="7"/>
  <c r="F56" i="7" s="1"/>
  <c r="B56" i="7"/>
  <c r="C56" i="7" s="1"/>
  <c r="G34" i="7"/>
  <c r="J74" i="7"/>
  <c r="H74" i="7"/>
  <c r="D15" i="7"/>
  <c r="H15" i="7" s="1"/>
  <c r="C115" i="7"/>
  <c r="H94" i="7"/>
  <c r="J94" i="7"/>
  <c r="E193" i="7"/>
  <c r="F193" i="7" s="1"/>
  <c r="B193" i="7"/>
  <c r="B213" i="7"/>
  <c r="C213" i="7" s="1"/>
  <c r="E213" i="7"/>
  <c r="F213" i="7" s="1"/>
  <c r="D54" i="7"/>
  <c r="J54" i="7" s="1"/>
  <c r="F13" i="8"/>
  <c r="I13" i="8" s="1"/>
  <c r="B13" i="8"/>
  <c r="C13" i="8" s="1"/>
  <c r="D13" i="8" s="1"/>
  <c r="G13" i="8" s="1"/>
  <c r="B93" i="8"/>
  <c r="C93" i="8" s="1"/>
  <c r="D93" i="8" s="1"/>
  <c r="G93" i="8" s="1"/>
  <c r="F93" i="8"/>
  <c r="H93" i="8" s="1"/>
  <c r="C234" i="7"/>
  <c r="I234" i="7" s="1"/>
  <c r="C215" i="7"/>
  <c r="B96" i="7"/>
  <c r="E96" i="7"/>
  <c r="F96" i="7" s="1"/>
  <c r="I34" i="7"/>
  <c r="C235" i="7"/>
  <c r="B217" i="7"/>
  <c r="C217" i="7" s="1"/>
  <c r="D217" i="7" s="1"/>
  <c r="E217" i="7"/>
  <c r="F217" i="7" s="1"/>
  <c r="E117" i="7"/>
  <c r="F117" i="7" s="1"/>
  <c r="B117" i="7"/>
  <c r="B37" i="7"/>
  <c r="C37" i="7" s="1"/>
  <c r="D37" i="7" s="1"/>
  <c r="E37" i="7"/>
  <c r="F37" i="7" s="1"/>
  <c r="B77" i="7"/>
  <c r="C77" i="7" s="1"/>
  <c r="E77" i="7"/>
  <c r="F77" i="7" s="1"/>
  <c r="E57" i="7"/>
  <c r="F57" i="7" s="1"/>
  <c r="B57" i="7"/>
  <c r="E97" i="7"/>
  <c r="F97" i="7" s="1"/>
  <c r="B97" i="7"/>
  <c r="E197" i="7"/>
  <c r="F197" i="7" s="1"/>
  <c r="B197" i="7"/>
  <c r="E137" i="7"/>
  <c r="F137" i="7" s="1"/>
  <c r="B137" i="7"/>
  <c r="B237" i="7"/>
  <c r="C237" i="7" s="1"/>
  <c r="E237" i="7"/>
  <c r="F237" i="7" s="1"/>
  <c r="B157" i="7"/>
  <c r="E157" i="7"/>
  <c r="F157" i="7" s="1"/>
  <c r="B17" i="7"/>
  <c r="C17" i="7" s="1"/>
  <c r="E17" i="7"/>
  <c r="F17" i="7" s="1"/>
  <c r="B177" i="7"/>
  <c r="C177" i="7" s="1"/>
  <c r="E177" i="7"/>
  <c r="F177" i="7" s="1"/>
  <c r="AY31" i="12"/>
  <c r="BA30" i="12"/>
  <c r="BB30" i="12" s="1"/>
  <c r="AX48" i="12"/>
  <c r="BF48" i="12"/>
  <c r="AW49" i="12"/>
  <c r="BE49" i="12"/>
  <c r="AU50" i="12"/>
  <c r="BE29" i="12"/>
  <c r="AU30" i="12"/>
  <c r="AW29" i="12"/>
  <c r="AU71" i="12"/>
  <c r="BE70" i="12"/>
  <c r="AW70" i="12"/>
  <c r="AW91" i="12"/>
  <c r="BE91" i="12"/>
  <c r="AU92" i="12"/>
  <c r="AX28" i="12"/>
  <c r="BF28" i="12"/>
  <c r="BF69" i="12"/>
  <c r="AX69" i="12"/>
  <c r="AX90" i="12"/>
  <c r="BF90" i="12"/>
  <c r="BC115" i="13"/>
  <c r="AQ116" i="13"/>
  <c r="AU115" i="13"/>
  <c r="BE114" i="13"/>
  <c r="AT49" i="12"/>
  <c r="BD49" i="12"/>
  <c r="AU116" i="12"/>
  <c r="BE115" i="12"/>
  <c r="AW115" i="12"/>
  <c r="AQ51" i="12"/>
  <c r="BC50" i="12"/>
  <c r="AS50" i="12"/>
  <c r="AT114" i="12"/>
  <c r="BD114" i="12"/>
  <c r="AM94" i="12"/>
  <c r="AO93" i="12"/>
  <c r="AP93" i="12" s="1"/>
  <c r="AM73" i="12"/>
  <c r="AO72" i="12"/>
  <c r="AP72" i="12" s="1"/>
  <c r="AX114" i="12"/>
  <c r="BF114" i="12"/>
  <c r="AQ93" i="12"/>
  <c r="BC92" i="12"/>
  <c r="AS92" i="12"/>
  <c r="AY95" i="12"/>
  <c r="BA94" i="12"/>
  <c r="BB94" i="12" s="1"/>
  <c r="BC115" i="12"/>
  <c r="AQ116" i="12"/>
  <c r="AS115" i="12"/>
  <c r="BD70" i="12"/>
  <c r="AT70" i="12"/>
  <c r="AT29" i="12"/>
  <c r="BD29" i="12"/>
  <c r="BD91" i="12"/>
  <c r="AT91" i="12"/>
  <c r="AQ31" i="12"/>
  <c r="BC30" i="12"/>
  <c r="AS30" i="12"/>
  <c r="AQ72" i="12"/>
  <c r="BC71" i="12"/>
  <c r="AS71" i="12"/>
  <c r="E12" i="1"/>
  <c r="G35" i="3" s="1"/>
  <c r="H35" i="3" s="1"/>
  <c r="F46" i="3"/>
  <c r="Q31" i="6"/>
  <c r="H31" i="6"/>
  <c r="A28" i="6"/>
  <c r="E13" i="6"/>
  <c r="F29" i="6"/>
  <c r="E29" i="6"/>
  <c r="A26" i="6"/>
  <c r="F11" i="6"/>
  <c r="E11" i="6"/>
  <c r="A27" i="6"/>
  <c r="E12" i="6"/>
  <c r="F12" i="6"/>
  <c r="F13" i="6"/>
  <c r="F13" i="1"/>
  <c r="D16" i="6" s="1"/>
  <c r="D31" i="6" s="1"/>
  <c r="E33" i="6"/>
  <c r="D10" i="1"/>
  <c r="I9" i="1"/>
  <c r="D9" i="1"/>
  <c r="I8" i="1"/>
  <c r="D8" i="1"/>
  <c r="J114" i="7" l="1"/>
  <c r="J175" i="7"/>
  <c r="G113" i="7"/>
  <c r="I56" i="7"/>
  <c r="H175" i="7"/>
  <c r="H213" i="8"/>
  <c r="J155" i="7"/>
  <c r="H153" i="8"/>
  <c r="H53" i="8"/>
  <c r="J15" i="7"/>
  <c r="G233" i="7"/>
  <c r="D233" i="7"/>
  <c r="J233" i="7" s="1"/>
  <c r="D136" i="7"/>
  <c r="H136" i="7" s="1"/>
  <c r="G136" i="7"/>
  <c r="I176" i="7"/>
  <c r="D176" i="7"/>
  <c r="J176" i="7" s="1"/>
  <c r="G213" i="7"/>
  <c r="D213" i="7"/>
  <c r="H213" i="7" s="1"/>
  <c r="G116" i="7"/>
  <c r="I116" i="7"/>
  <c r="D116" i="7"/>
  <c r="J116" i="7" s="1"/>
  <c r="H233" i="8"/>
  <c r="I93" i="8"/>
  <c r="H33" i="8"/>
  <c r="I173" i="8"/>
  <c r="I133" i="8"/>
  <c r="I113" i="8"/>
  <c r="I53" i="7"/>
  <c r="G53" i="7"/>
  <c r="D53" i="7"/>
  <c r="H53" i="7" s="1"/>
  <c r="I196" i="7"/>
  <c r="D196" i="7"/>
  <c r="J196" i="7" s="1"/>
  <c r="G196" i="7"/>
  <c r="D13" i="7"/>
  <c r="J13" i="7" s="1"/>
  <c r="G13" i="7"/>
  <c r="I13" i="7"/>
  <c r="F132" i="8"/>
  <c r="I132" i="8" s="1"/>
  <c r="B132" i="8"/>
  <c r="C132" i="8" s="1"/>
  <c r="D132" i="8" s="1"/>
  <c r="G132" i="8" s="1"/>
  <c r="A211" i="8"/>
  <c r="A71" i="8"/>
  <c r="A31" i="8"/>
  <c r="A131" i="8"/>
  <c r="A91" i="8"/>
  <c r="A191" i="8"/>
  <c r="A171" i="8"/>
  <c r="A51" i="8"/>
  <c r="A231" i="8"/>
  <c r="A151" i="8"/>
  <c r="A111" i="8"/>
  <c r="A11" i="8"/>
  <c r="A209" i="8"/>
  <c r="A229" i="8"/>
  <c r="A149" i="8"/>
  <c r="A129" i="8"/>
  <c r="A109" i="8"/>
  <c r="A189" i="8"/>
  <c r="A69" i="8"/>
  <c r="A29" i="8"/>
  <c r="A89" i="8"/>
  <c r="A169" i="8"/>
  <c r="A49" i="8"/>
  <c r="A9" i="8"/>
  <c r="G234" i="7"/>
  <c r="D234" i="7"/>
  <c r="C93" i="7"/>
  <c r="B90" i="7"/>
  <c r="C90" i="7" s="1"/>
  <c r="E90" i="7"/>
  <c r="F90" i="7" s="1"/>
  <c r="C156" i="7"/>
  <c r="B74" i="8"/>
  <c r="C74" i="8" s="1"/>
  <c r="D74" i="8" s="1"/>
  <c r="G74" i="8" s="1"/>
  <c r="F74" i="8"/>
  <c r="H74" i="8" s="1"/>
  <c r="I55" i="7"/>
  <c r="D55" i="7"/>
  <c r="G55" i="7"/>
  <c r="E152" i="7"/>
  <c r="F152" i="7" s="1"/>
  <c r="B152" i="7"/>
  <c r="C152" i="7" s="1"/>
  <c r="G176" i="7"/>
  <c r="C16" i="7"/>
  <c r="D154" i="7"/>
  <c r="I154" i="7"/>
  <c r="G154" i="7"/>
  <c r="B11" i="7"/>
  <c r="C11" i="7" s="1"/>
  <c r="E11" i="7"/>
  <c r="F11" i="7" s="1"/>
  <c r="B232" i="8"/>
  <c r="C232" i="8" s="1"/>
  <c r="D232" i="8" s="1"/>
  <c r="G232" i="8" s="1"/>
  <c r="F232" i="8"/>
  <c r="I232" i="8" s="1"/>
  <c r="F134" i="8"/>
  <c r="I134" i="8" s="1"/>
  <c r="B134" i="8"/>
  <c r="C134" i="8" s="1"/>
  <c r="D134" i="8" s="1"/>
  <c r="G134" i="8" s="1"/>
  <c r="C36" i="7"/>
  <c r="C236" i="7"/>
  <c r="B30" i="7"/>
  <c r="C30" i="7" s="1"/>
  <c r="E30" i="7"/>
  <c r="F30" i="7" s="1"/>
  <c r="B10" i="7"/>
  <c r="C10" i="7" s="1"/>
  <c r="D10" i="7" s="1"/>
  <c r="E10" i="7"/>
  <c r="F10" i="7" s="1"/>
  <c r="B154" i="8"/>
  <c r="C154" i="8" s="1"/>
  <c r="D154" i="8" s="1"/>
  <c r="G154" i="8" s="1"/>
  <c r="F154" i="8"/>
  <c r="I154" i="8" s="1"/>
  <c r="I174" i="7"/>
  <c r="G174" i="7"/>
  <c r="D174" i="7"/>
  <c r="G14" i="7"/>
  <c r="D14" i="7"/>
  <c r="I14" i="7"/>
  <c r="B92" i="7"/>
  <c r="C92" i="7" s="1"/>
  <c r="E92" i="7"/>
  <c r="F92" i="7" s="1"/>
  <c r="E112" i="7"/>
  <c r="F112" i="7" s="1"/>
  <c r="B112" i="7"/>
  <c r="C112" i="7" s="1"/>
  <c r="D112" i="7" s="1"/>
  <c r="H54" i="7"/>
  <c r="G195" i="7"/>
  <c r="D195" i="7"/>
  <c r="I195" i="7"/>
  <c r="B111" i="7"/>
  <c r="C111" i="7" s="1"/>
  <c r="E111" i="7"/>
  <c r="F111" i="7" s="1"/>
  <c r="B52" i="8"/>
  <c r="C52" i="8" s="1"/>
  <c r="D52" i="8" s="1"/>
  <c r="G52" i="8" s="1"/>
  <c r="F52" i="8"/>
  <c r="I52" i="8" s="1"/>
  <c r="C193" i="7"/>
  <c r="E72" i="7"/>
  <c r="F72" i="7" s="1"/>
  <c r="B72" i="7"/>
  <c r="C72" i="7" s="1"/>
  <c r="I213" i="7"/>
  <c r="I95" i="7"/>
  <c r="D95" i="7"/>
  <c r="G95" i="7"/>
  <c r="E150" i="7"/>
  <c r="F150" i="7" s="1"/>
  <c r="B150" i="7"/>
  <c r="C150" i="7" s="1"/>
  <c r="E170" i="7"/>
  <c r="F170" i="7"/>
  <c r="B170" i="7"/>
  <c r="C170" i="7" s="1"/>
  <c r="B234" i="8"/>
  <c r="C234" i="8" s="1"/>
  <c r="D234" i="8" s="1"/>
  <c r="G234" i="8" s="1"/>
  <c r="F234" i="8"/>
  <c r="I234" i="8" s="1"/>
  <c r="C216" i="7"/>
  <c r="I136" i="7"/>
  <c r="B192" i="7"/>
  <c r="C192" i="7" s="1"/>
  <c r="E192" i="7"/>
  <c r="F192" i="7" s="1"/>
  <c r="B212" i="7"/>
  <c r="C212" i="7" s="1"/>
  <c r="E212" i="7"/>
  <c r="F212" i="7" s="1"/>
  <c r="E211" i="7"/>
  <c r="F211" i="7" s="1"/>
  <c r="B211" i="7"/>
  <c r="C211" i="7" s="1"/>
  <c r="B72" i="8"/>
  <c r="C72" i="8" s="1"/>
  <c r="D72" i="8" s="1"/>
  <c r="G72" i="8" s="1"/>
  <c r="F72" i="8"/>
  <c r="I72" i="8" s="1"/>
  <c r="E210" i="7"/>
  <c r="F210" i="7" s="1"/>
  <c r="B210" i="7"/>
  <c r="C210" i="7" s="1"/>
  <c r="B230" i="7"/>
  <c r="C230" i="7" s="1"/>
  <c r="E230" i="7"/>
  <c r="F230" i="7" s="1"/>
  <c r="B190" i="7"/>
  <c r="C190" i="7" s="1"/>
  <c r="D190" i="7" s="1"/>
  <c r="E190" i="7"/>
  <c r="F190" i="7" s="1"/>
  <c r="F14" i="8"/>
  <c r="H14" i="8" s="1"/>
  <c r="B14" i="8"/>
  <c r="C14" i="8" s="1"/>
  <c r="D14" i="8" s="1"/>
  <c r="G14" i="8" s="1"/>
  <c r="B94" i="8"/>
  <c r="C94" i="8" s="1"/>
  <c r="D94" i="8" s="1"/>
  <c r="G94" i="8" s="1"/>
  <c r="F94" i="8"/>
  <c r="I94" i="8" s="1"/>
  <c r="C133" i="7"/>
  <c r="G75" i="7"/>
  <c r="I75" i="7"/>
  <c r="D75" i="7"/>
  <c r="B172" i="7"/>
  <c r="C172" i="7" s="1"/>
  <c r="E172" i="7"/>
  <c r="F172" i="7" s="1"/>
  <c r="B12" i="7"/>
  <c r="C12" i="7" s="1"/>
  <c r="E12" i="7"/>
  <c r="F12" i="7" s="1"/>
  <c r="G35" i="7"/>
  <c r="D35" i="7"/>
  <c r="I35" i="7"/>
  <c r="E131" i="7"/>
  <c r="F131" i="7" s="1"/>
  <c r="B131" i="7"/>
  <c r="C131" i="7" s="1"/>
  <c r="E51" i="7"/>
  <c r="F51" i="7" s="1"/>
  <c r="B51" i="7"/>
  <c r="C51" i="7" s="1"/>
  <c r="D194" i="7"/>
  <c r="I194" i="7"/>
  <c r="G194" i="7"/>
  <c r="B172" i="8"/>
  <c r="C172" i="8" s="1"/>
  <c r="D172" i="8" s="1"/>
  <c r="G172" i="8" s="1"/>
  <c r="F172" i="8"/>
  <c r="H172" i="8" s="1"/>
  <c r="D134" i="7"/>
  <c r="G134" i="7"/>
  <c r="I134" i="7"/>
  <c r="B152" i="8"/>
  <c r="C152" i="8" s="1"/>
  <c r="D152" i="8" s="1"/>
  <c r="G152" i="8" s="1"/>
  <c r="F152" i="8"/>
  <c r="I152" i="8" s="1"/>
  <c r="C96" i="7"/>
  <c r="H13" i="8"/>
  <c r="D56" i="7"/>
  <c r="H56" i="7" s="1"/>
  <c r="H73" i="8"/>
  <c r="D113" i="7"/>
  <c r="H113" i="7" s="1"/>
  <c r="E50" i="7"/>
  <c r="F50" i="7" s="1"/>
  <c r="B50" i="7"/>
  <c r="C50" i="7" s="1"/>
  <c r="D50" i="7" s="1"/>
  <c r="E130" i="7"/>
  <c r="F130" i="7" s="1"/>
  <c r="B130" i="7"/>
  <c r="C130" i="7" s="1"/>
  <c r="B194" i="8"/>
  <c r="C194" i="8" s="1"/>
  <c r="D194" i="8" s="1"/>
  <c r="G194" i="8" s="1"/>
  <c r="F194" i="8"/>
  <c r="I194" i="8" s="1"/>
  <c r="F114" i="8"/>
  <c r="I114" i="8" s="1"/>
  <c r="B114" i="8"/>
  <c r="C114" i="8" s="1"/>
  <c r="D114" i="8" s="1"/>
  <c r="G114" i="8" s="1"/>
  <c r="G135" i="7"/>
  <c r="D135" i="7"/>
  <c r="I135" i="7"/>
  <c r="E132" i="7"/>
  <c r="F132" i="7" s="1"/>
  <c r="B132" i="7"/>
  <c r="C132" i="7" s="1"/>
  <c r="B52" i="7"/>
  <c r="C52" i="7" s="1"/>
  <c r="E52" i="7"/>
  <c r="F52" i="7" s="1"/>
  <c r="B31" i="7"/>
  <c r="C31" i="7" s="1"/>
  <c r="E31" i="7"/>
  <c r="F31" i="7" s="1"/>
  <c r="E91" i="7"/>
  <c r="F91" i="7" s="1"/>
  <c r="B91" i="7"/>
  <c r="C91" i="7" s="1"/>
  <c r="B12" i="8"/>
  <c r="C12" i="8" s="1"/>
  <c r="D12" i="8" s="1"/>
  <c r="G12" i="8" s="1"/>
  <c r="F12" i="8"/>
  <c r="I12" i="8" s="1"/>
  <c r="F212" i="8"/>
  <c r="I212" i="8" s="1"/>
  <c r="B212" i="8"/>
  <c r="C212" i="8" s="1"/>
  <c r="D212" i="8" s="1"/>
  <c r="G212" i="8" s="1"/>
  <c r="G235" i="7"/>
  <c r="I235" i="7"/>
  <c r="D235" i="7"/>
  <c r="G115" i="7"/>
  <c r="D115" i="7"/>
  <c r="I115" i="7"/>
  <c r="B151" i="7"/>
  <c r="C151" i="7" s="1"/>
  <c r="E151" i="7"/>
  <c r="F151" i="7" s="1"/>
  <c r="A230" i="8"/>
  <c r="A170" i="8"/>
  <c r="A150" i="8"/>
  <c r="A30" i="8"/>
  <c r="A210" i="8"/>
  <c r="A110" i="8"/>
  <c r="A90" i="8"/>
  <c r="A130" i="8"/>
  <c r="A70" i="8"/>
  <c r="A50" i="8"/>
  <c r="A190" i="8"/>
  <c r="A10" i="8"/>
  <c r="G56" i="7"/>
  <c r="I113" i="7"/>
  <c r="B70" i="7"/>
  <c r="C70" i="7" s="1"/>
  <c r="E70" i="7"/>
  <c r="F70" i="7" s="1"/>
  <c r="F54" i="8"/>
  <c r="I54" i="8" s="1"/>
  <c r="B54" i="8"/>
  <c r="C54" i="8" s="1"/>
  <c r="D54" i="8" s="1"/>
  <c r="G54" i="8" s="1"/>
  <c r="B174" i="8"/>
  <c r="C174" i="8" s="1"/>
  <c r="D174" i="8" s="1"/>
  <c r="G174" i="8" s="1"/>
  <c r="F174" i="8"/>
  <c r="H174" i="8" s="1"/>
  <c r="C153" i="7"/>
  <c r="B32" i="7"/>
  <c r="C32" i="7" s="1"/>
  <c r="E32" i="7"/>
  <c r="F32" i="7" s="1"/>
  <c r="H193" i="8"/>
  <c r="I233" i="7"/>
  <c r="B231" i="7"/>
  <c r="C231" i="7" s="1"/>
  <c r="E231" i="7"/>
  <c r="F231" i="7" s="1"/>
  <c r="B171" i="7"/>
  <c r="C171" i="7" s="1"/>
  <c r="D171" i="7" s="1"/>
  <c r="E171" i="7"/>
  <c r="F171" i="7" s="1"/>
  <c r="F92" i="8"/>
  <c r="H92" i="8" s="1"/>
  <c r="B92" i="8"/>
  <c r="C92" i="8" s="1"/>
  <c r="D92" i="8" s="1"/>
  <c r="G92" i="8" s="1"/>
  <c r="F192" i="8"/>
  <c r="I192" i="8" s="1"/>
  <c r="B192" i="8"/>
  <c r="C192" i="8" s="1"/>
  <c r="D192" i="8" s="1"/>
  <c r="G192" i="8" s="1"/>
  <c r="I215" i="7"/>
  <c r="D215" i="7"/>
  <c r="G215" i="7"/>
  <c r="B110" i="7"/>
  <c r="C110" i="7" s="1"/>
  <c r="E110" i="7"/>
  <c r="F110" i="7" s="1"/>
  <c r="F34" i="8"/>
  <c r="I34" i="8" s="1"/>
  <c r="B34" i="8"/>
  <c r="C34" i="8" s="1"/>
  <c r="D34" i="8" s="1"/>
  <c r="G34" i="8" s="1"/>
  <c r="F214" i="8"/>
  <c r="H214" i="8" s="1"/>
  <c r="B214" i="8"/>
  <c r="C214" i="8" s="1"/>
  <c r="D214" i="8" s="1"/>
  <c r="G214" i="8" s="1"/>
  <c r="C173" i="7"/>
  <c r="E232" i="7"/>
  <c r="F232" i="7" s="1"/>
  <c r="B232" i="7"/>
  <c r="C232" i="7" s="1"/>
  <c r="C73" i="7"/>
  <c r="C33" i="7"/>
  <c r="C76" i="7"/>
  <c r="B71" i="7"/>
  <c r="C71" i="7" s="1"/>
  <c r="E71" i="7"/>
  <c r="F71" i="7" s="1"/>
  <c r="E191" i="7"/>
  <c r="F191" i="7" s="1"/>
  <c r="B191" i="7"/>
  <c r="C191" i="7" s="1"/>
  <c r="D191" i="7" s="1"/>
  <c r="F112" i="8"/>
  <c r="I112" i="8" s="1"/>
  <c r="B112" i="8"/>
  <c r="C112" i="8" s="1"/>
  <c r="D112" i="8" s="1"/>
  <c r="G112" i="8" s="1"/>
  <c r="B32" i="8"/>
  <c r="C32" i="8" s="1"/>
  <c r="D32" i="8" s="1"/>
  <c r="G32" i="8" s="1"/>
  <c r="F32" i="8"/>
  <c r="I32" i="8" s="1"/>
  <c r="I77" i="7"/>
  <c r="G77" i="7"/>
  <c r="D237" i="7"/>
  <c r="J237" i="7" s="1"/>
  <c r="G237" i="7"/>
  <c r="D77" i="7"/>
  <c r="J77" i="7" s="1"/>
  <c r="I17" i="7"/>
  <c r="I37" i="7"/>
  <c r="G177" i="7"/>
  <c r="D177" i="7"/>
  <c r="H177" i="7" s="1"/>
  <c r="I177" i="7"/>
  <c r="I237" i="7"/>
  <c r="G217" i="7"/>
  <c r="C137" i="7"/>
  <c r="C97" i="7"/>
  <c r="H37" i="7"/>
  <c r="J37" i="7"/>
  <c r="I217" i="7"/>
  <c r="J217" i="7"/>
  <c r="G17" i="7"/>
  <c r="D17" i="7"/>
  <c r="J17" i="7" s="1"/>
  <c r="C57" i="7"/>
  <c r="G37" i="7"/>
  <c r="C197" i="7"/>
  <c r="C157" i="7"/>
  <c r="C117" i="7"/>
  <c r="H217" i="7"/>
  <c r="AY32" i="12"/>
  <c r="BA31" i="12"/>
  <c r="BB31" i="12" s="1"/>
  <c r="BE30" i="12"/>
  <c r="AU31" i="12"/>
  <c r="AW30" i="12"/>
  <c r="AU93" i="12"/>
  <c r="BE92" i="12"/>
  <c r="AW92" i="12"/>
  <c r="BE50" i="12"/>
  <c r="AU51" i="12"/>
  <c r="AW50" i="12"/>
  <c r="BF91" i="12"/>
  <c r="AX91" i="12"/>
  <c r="BF70" i="12"/>
  <c r="AX70" i="12"/>
  <c r="AX49" i="12"/>
  <c r="BF49" i="12"/>
  <c r="BF29" i="12"/>
  <c r="AX29" i="12"/>
  <c r="AU72" i="12"/>
  <c r="BE71" i="12"/>
  <c r="AW71" i="12"/>
  <c r="AU116" i="13"/>
  <c r="BE115" i="13"/>
  <c r="AQ117" i="13"/>
  <c r="BC116" i="13"/>
  <c r="BD115" i="12"/>
  <c r="AT115" i="12"/>
  <c r="BC93" i="12"/>
  <c r="AQ94" i="12"/>
  <c r="AS93" i="12"/>
  <c r="AX115" i="12"/>
  <c r="BF115" i="12"/>
  <c r="BD92" i="12"/>
  <c r="AT92" i="12"/>
  <c r="AQ32" i="12"/>
  <c r="BC31" i="12"/>
  <c r="AS31" i="12"/>
  <c r="AQ52" i="12"/>
  <c r="BC51" i="12"/>
  <c r="AS51" i="12"/>
  <c r="AQ73" i="12"/>
  <c r="BC72" i="12"/>
  <c r="AS72" i="12"/>
  <c r="BE116" i="12"/>
  <c r="AU117" i="12"/>
  <c r="AW116" i="12"/>
  <c r="AM74" i="12"/>
  <c r="AO73" i="12"/>
  <c r="AP73" i="12" s="1"/>
  <c r="BC116" i="12"/>
  <c r="AQ117" i="12"/>
  <c r="AS116" i="12"/>
  <c r="AT30" i="12"/>
  <c r="BD30" i="12"/>
  <c r="AT50" i="12"/>
  <c r="BD50" i="12"/>
  <c r="AM95" i="12"/>
  <c r="AO94" i="12"/>
  <c r="AP94" i="12" s="1"/>
  <c r="AT71" i="12"/>
  <c r="BD71" i="12"/>
  <c r="AY96" i="12"/>
  <c r="BA95" i="12"/>
  <c r="BB95" i="12" s="1"/>
  <c r="F12" i="1"/>
  <c r="D15" i="6" s="1"/>
  <c r="D30" i="6" s="1"/>
  <c r="E11" i="1"/>
  <c r="G34" i="3" s="1"/>
  <c r="H34" i="3" s="1"/>
  <c r="Q11" i="6"/>
  <c r="E28" i="6"/>
  <c r="F28" i="6"/>
  <c r="Q12" i="6"/>
  <c r="F26" i="6"/>
  <c r="E26" i="6"/>
  <c r="F27" i="6"/>
  <c r="E27" i="6"/>
  <c r="G70" i="7" l="1"/>
  <c r="G91" i="7"/>
  <c r="G170" i="7"/>
  <c r="I31" i="7"/>
  <c r="G211" i="7"/>
  <c r="G231" i="7"/>
  <c r="G232" i="7"/>
  <c r="I230" i="7"/>
  <c r="G230" i="7"/>
  <c r="I170" i="7"/>
  <c r="G110" i="7"/>
  <c r="D110" i="7"/>
  <c r="J110" i="7" s="1"/>
  <c r="D230" i="7"/>
  <c r="J230" i="7" s="1"/>
  <c r="D170" i="7"/>
  <c r="J170" i="7" s="1"/>
  <c r="I130" i="7"/>
  <c r="G130" i="7"/>
  <c r="D130" i="7"/>
  <c r="H130" i="7" s="1"/>
  <c r="I150" i="7"/>
  <c r="D150" i="7"/>
  <c r="H150" i="7" s="1"/>
  <c r="G150" i="7"/>
  <c r="G30" i="7"/>
  <c r="D30" i="7"/>
  <c r="H30" i="7" s="1"/>
  <c r="I30" i="7"/>
  <c r="D210" i="7"/>
  <c r="J210" i="7" s="1"/>
  <c r="G210" i="7"/>
  <c r="I210" i="7"/>
  <c r="I90" i="7"/>
  <c r="D90" i="7"/>
  <c r="J90" i="7" s="1"/>
  <c r="G90" i="7"/>
  <c r="D151" i="7"/>
  <c r="H151" i="7" s="1"/>
  <c r="I151" i="7"/>
  <c r="G151" i="7"/>
  <c r="I50" i="7"/>
  <c r="G10" i="7"/>
  <c r="I190" i="7"/>
  <c r="D70" i="7"/>
  <c r="J70" i="7" s="1"/>
  <c r="I10" i="7"/>
  <c r="I110" i="7"/>
  <c r="G50" i="7"/>
  <c r="G190" i="7"/>
  <c r="G72" i="7"/>
  <c r="E10" i="1"/>
  <c r="E9" i="1" s="1"/>
  <c r="F9" i="1" s="1"/>
  <c r="D12" i="6" s="1"/>
  <c r="D27" i="6" s="1"/>
  <c r="I70" i="7"/>
  <c r="G51" i="7"/>
  <c r="D51" i="7"/>
  <c r="J51" i="7" s="1"/>
  <c r="I51" i="7"/>
  <c r="D212" i="7"/>
  <c r="J212" i="7" s="1"/>
  <c r="I212" i="7"/>
  <c r="I111" i="7"/>
  <c r="G111" i="7"/>
  <c r="D111" i="7"/>
  <c r="H111" i="7" s="1"/>
  <c r="G11" i="7"/>
  <c r="I11" i="7"/>
  <c r="D11" i="7"/>
  <c r="J11" i="7" s="1"/>
  <c r="D71" i="7"/>
  <c r="J71" i="7" s="1"/>
  <c r="G71" i="7"/>
  <c r="I71" i="7"/>
  <c r="D131" i="7"/>
  <c r="J131" i="7" s="1"/>
  <c r="I131" i="7"/>
  <c r="G131" i="7"/>
  <c r="G32" i="7"/>
  <c r="D32" i="7"/>
  <c r="J32" i="7" s="1"/>
  <c r="I32" i="7"/>
  <c r="I52" i="7"/>
  <c r="G52" i="7"/>
  <c r="D52" i="7"/>
  <c r="J52" i="7" s="1"/>
  <c r="D231" i="7"/>
  <c r="H231" i="7" s="1"/>
  <c r="I171" i="7"/>
  <c r="G31" i="7"/>
  <c r="I112" i="7"/>
  <c r="I191" i="7"/>
  <c r="D91" i="7"/>
  <c r="J91" i="7" s="1"/>
  <c r="I211" i="7"/>
  <c r="G191" i="7"/>
  <c r="I91" i="7"/>
  <c r="D211" i="7"/>
  <c r="J211" i="7" s="1"/>
  <c r="D31" i="7"/>
  <c r="H31" i="7" s="1"/>
  <c r="I232" i="7"/>
  <c r="G171" i="7"/>
  <c r="I231" i="7"/>
  <c r="H196" i="7"/>
  <c r="D152" i="7"/>
  <c r="J152" i="7" s="1"/>
  <c r="I152" i="7"/>
  <c r="G152" i="7"/>
  <c r="D132" i="7"/>
  <c r="H132" i="7" s="1"/>
  <c r="I132" i="7"/>
  <c r="G132" i="7"/>
  <c r="I92" i="7"/>
  <c r="D92" i="7"/>
  <c r="J92" i="7" s="1"/>
  <c r="G92" i="7"/>
  <c r="I192" i="7"/>
  <c r="D192" i="7"/>
  <c r="H192" i="7" s="1"/>
  <c r="G192" i="7"/>
  <c r="I12" i="7"/>
  <c r="G12" i="7"/>
  <c r="D12" i="7"/>
  <c r="H12" i="7" s="1"/>
  <c r="I172" i="7"/>
  <c r="D172" i="7"/>
  <c r="J172" i="7" s="1"/>
  <c r="G172" i="7"/>
  <c r="D232" i="7"/>
  <c r="H232" i="7" s="1"/>
  <c r="G212" i="7"/>
  <c r="I72" i="7"/>
  <c r="G112" i="7"/>
  <c r="D72" i="7"/>
  <c r="H72" i="7" s="1"/>
  <c r="J213" i="7"/>
  <c r="H13" i="7"/>
  <c r="H12" i="8"/>
  <c r="H176" i="7"/>
  <c r="H112" i="8"/>
  <c r="H233" i="7"/>
  <c r="J136" i="7"/>
  <c r="H134" i="8"/>
  <c r="H132" i="8"/>
  <c r="H116" i="7"/>
  <c r="H212" i="8"/>
  <c r="I172" i="8"/>
  <c r="H77" i="7"/>
  <c r="J53" i="7"/>
  <c r="H234" i="8"/>
  <c r="J56" i="7"/>
  <c r="H72" i="8"/>
  <c r="I92" i="8"/>
  <c r="H194" i="8"/>
  <c r="H152" i="8"/>
  <c r="I214" i="8"/>
  <c r="I14" i="8"/>
  <c r="J113" i="7"/>
  <c r="H75" i="7"/>
  <c r="J75" i="7"/>
  <c r="J191" i="7"/>
  <c r="H191" i="7"/>
  <c r="D173" i="7"/>
  <c r="G173" i="7"/>
  <c r="I173" i="7"/>
  <c r="H54" i="8"/>
  <c r="F130" i="8"/>
  <c r="H130" i="8" s="1"/>
  <c r="B130" i="8"/>
  <c r="C130" i="8" s="1"/>
  <c r="D130" i="8" s="1"/>
  <c r="G130" i="8" s="1"/>
  <c r="J115" i="7"/>
  <c r="H115" i="7"/>
  <c r="I193" i="7"/>
  <c r="D193" i="7"/>
  <c r="G193" i="7"/>
  <c r="H174" i="7"/>
  <c r="J174" i="7"/>
  <c r="J234" i="7"/>
  <c r="H234" i="7"/>
  <c r="F189" i="8"/>
  <c r="H189" i="8" s="1"/>
  <c r="B189" i="8"/>
  <c r="C189" i="8" s="1"/>
  <c r="D189" i="8" s="1"/>
  <c r="G189" i="8" s="1"/>
  <c r="B151" i="8"/>
  <c r="C151" i="8" s="1"/>
  <c r="D151" i="8" s="1"/>
  <c r="G151" i="8" s="1"/>
  <c r="F151" i="8"/>
  <c r="H151" i="8" s="1"/>
  <c r="B71" i="8"/>
  <c r="C71" i="8" s="1"/>
  <c r="D71" i="8" s="1"/>
  <c r="G71" i="8" s="1"/>
  <c r="F71" i="8"/>
  <c r="I71" i="8" s="1"/>
  <c r="B70" i="8"/>
  <c r="C70" i="8" s="1"/>
  <c r="D70" i="8" s="1"/>
  <c r="G70" i="8" s="1"/>
  <c r="F70" i="8"/>
  <c r="H70" i="8" s="1"/>
  <c r="J134" i="7"/>
  <c r="H134" i="7"/>
  <c r="J35" i="7"/>
  <c r="H35" i="7"/>
  <c r="B31" i="8"/>
  <c r="C31" i="8" s="1"/>
  <c r="D31" i="8" s="1"/>
  <c r="G31" i="8" s="1"/>
  <c r="F31" i="8"/>
  <c r="H31" i="8" s="1"/>
  <c r="H237" i="7"/>
  <c r="H215" i="7"/>
  <c r="J215" i="7"/>
  <c r="F90" i="8"/>
  <c r="H90" i="8" s="1"/>
  <c r="B90" i="8"/>
  <c r="C90" i="8" s="1"/>
  <c r="D90" i="8" s="1"/>
  <c r="G90" i="8" s="1"/>
  <c r="D96" i="7"/>
  <c r="G96" i="7"/>
  <c r="I96" i="7"/>
  <c r="H95" i="7"/>
  <c r="J95" i="7"/>
  <c r="H52" i="8"/>
  <c r="H232" i="8"/>
  <c r="I16" i="7"/>
  <c r="G16" i="7"/>
  <c r="D16" i="7"/>
  <c r="F109" i="8"/>
  <c r="I109" i="8" s="1"/>
  <c r="B109" i="8"/>
  <c r="C109" i="8" s="1"/>
  <c r="D109" i="8" s="1"/>
  <c r="G109" i="8" s="1"/>
  <c r="B231" i="8"/>
  <c r="C231" i="8" s="1"/>
  <c r="D231" i="8" s="1"/>
  <c r="G231" i="8" s="1"/>
  <c r="F231" i="8"/>
  <c r="I231" i="8" s="1"/>
  <c r="F211" i="8"/>
  <c r="H211" i="8" s="1"/>
  <c r="B211" i="8"/>
  <c r="C211" i="8" s="1"/>
  <c r="D211" i="8" s="1"/>
  <c r="G211" i="8" s="1"/>
  <c r="F111" i="8"/>
  <c r="H111" i="8" s="1"/>
  <c r="B111" i="8"/>
  <c r="C111" i="8" s="1"/>
  <c r="D111" i="8" s="1"/>
  <c r="G111" i="8" s="1"/>
  <c r="F110" i="8"/>
  <c r="I110" i="8" s="1"/>
  <c r="B110" i="8"/>
  <c r="C110" i="8" s="1"/>
  <c r="D110" i="8" s="1"/>
  <c r="G110" i="8" s="1"/>
  <c r="J235" i="7"/>
  <c r="H235" i="7"/>
  <c r="J135" i="7"/>
  <c r="H135" i="7"/>
  <c r="J50" i="7"/>
  <c r="H50" i="7"/>
  <c r="J150" i="7"/>
  <c r="G236" i="7"/>
  <c r="I236" i="7"/>
  <c r="D236" i="7"/>
  <c r="B9" i="8"/>
  <c r="C9" i="8" s="1"/>
  <c r="D9" i="8" s="1"/>
  <c r="G9" i="8" s="1"/>
  <c r="F9" i="8"/>
  <c r="I9" i="8" s="1"/>
  <c r="F129" i="8"/>
  <c r="I129" i="8" s="1"/>
  <c r="B129" i="8"/>
  <c r="C129" i="8" s="1"/>
  <c r="D129" i="8" s="1"/>
  <c r="G129" i="8" s="1"/>
  <c r="B51" i="8"/>
  <c r="C51" i="8" s="1"/>
  <c r="D51" i="8" s="1"/>
  <c r="G51" i="8" s="1"/>
  <c r="F51" i="8"/>
  <c r="H51" i="8" s="1"/>
  <c r="B69" i="8"/>
  <c r="C69" i="8" s="1"/>
  <c r="D69" i="8" s="1"/>
  <c r="G69" i="8" s="1"/>
  <c r="F69" i="8"/>
  <c r="I69" i="8" s="1"/>
  <c r="F210" i="8"/>
  <c r="H210" i="8" s="1"/>
  <c r="B210" i="8"/>
  <c r="C210" i="8" s="1"/>
  <c r="D210" i="8" s="1"/>
  <c r="G210" i="8" s="1"/>
  <c r="G133" i="7"/>
  <c r="D133" i="7"/>
  <c r="I133" i="7"/>
  <c r="H55" i="7"/>
  <c r="J55" i="7"/>
  <c r="D156" i="7"/>
  <c r="I156" i="7"/>
  <c r="G156" i="7"/>
  <c r="B49" i="8"/>
  <c r="C49" i="8" s="1"/>
  <c r="D49" i="8" s="1"/>
  <c r="G49" i="8" s="1"/>
  <c r="F49" i="8"/>
  <c r="I49" i="8" s="1"/>
  <c r="F149" i="8"/>
  <c r="H149" i="8" s="1"/>
  <c r="B149" i="8"/>
  <c r="C149" i="8" s="1"/>
  <c r="D149" i="8" s="1"/>
  <c r="G149" i="8" s="1"/>
  <c r="B171" i="8"/>
  <c r="C171" i="8" s="1"/>
  <c r="D171" i="8" s="1"/>
  <c r="G171" i="8" s="1"/>
  <c r="F171" i="8"/>
  <c r="H171" i="8" s="1"/>
  <c r="D76" i="7"/>
  <c r="G76" i="7"/>
  <c r="I76" i="7"/>
  <c r="D153" i="7"/>
  <c r="G153" i="7"/>
  <c r="I153" i="7"/>
  <c r="B10" i="8"/>
  <c r="C10" i="8" s="1"/>
  <c r="D10" i="8" s="1"/>
  <c r="G10" i="8" s="1"/>
  <c r="F10" i="8"/>
  <c r="H10" i="8" s="1"/>
  <c r="B30" i="8"/>
  <c r="C30" i="8" s="1"/>
  <c r="D30" i="8" s="1"/>
  <c r="G30" i="8" s="1"/>
  <c r="F30" i="8"/>
  <c r="H30" i="8" s="1"/>
  <c r="H114" i="8"/>
  <c r="H94" i="8"/>
  <c r="J195" i="7"/>
  <c r="H195" i="7"/>
  <c r="H154" i="8"/>
  <c r="I36" i="7"/>
  <c r="G36" i="7"/>
  <c r="D36" i="7"/>
  <c r="B169" i="8"/>
  <c r="C169" i="8" s="1"/>
  <c r="D169" i="8" s="1"/>
  <c r="G169" i="8" s="1"/>
  <c r="F169" i="8"/>
  <c r="I169" i="8" s="1"/>
  <c r="F229" i="8"/>
  <c r="H229" i="8" s="1"/>
  <c r="B229" i="8"/>
  <c r="C229" i="8" s="1"/>
  <c r="D229" i="8" s="1"/>
  <c r="G229" i="8" s="1"/>
  <c r="F191" i="8"/>
  <c r="I191" i="8" s="1"/>
  <c r="B191" i="8"/>
  <c r="C191" i="8" s="1"/>
  <c r="D191" i="8" s="1"/>
  <c r="G191" i="8" s="1"/>
  <c r="B230" i="8"/>
  <c r="C230" i="8" s="1"/>
  <c r="D230" i="8" s="1"/>
  <c r="G230" i="8" s="1"/>
  <c r="F230" i="8"/>
  <c r="I230" i="8" s="1"/>
  <c r="H112" i="7"/>
  <c r="J112" i="7"/>
  <c r="H10" i="7"/>
  <c r="J10" i="7"/>
  <c r="J154" i="7"/>
  <c r="H154" i="7"/>
  <c r="H32" i="8"/>
  <c r="I33" i="7"/>
  <c r="D33" i="7"/>
  <c r="G33" i="7"/>
  <c r="H192" i="8"/>
  <c r="I174" i="8"/>
  <c r="F190" i="8"/>
  <c r="I190" i="8" s="1"/>
  <c r="B190" i="8"/>
  <c r="C190" i="8" s="1"/>
  <c r="D190" i="8" s="1"/>
  <c r="G190" i="8" s="1"/>
  <c r="F150" i="8"/>
  <c r="I150" i="8" s="1"/>
  <c r="B150" i="8"/>
  <c r="C150" i="8" s="1"/>
  <c r="D150" i="8" s="1"/>
  <c r="G150" i="8" s="1"/>
  <c r="J194" i="7"/>
  <c r="H194" i="7"/>
  <c r="J190" i="7"/>
  <c r="H190" i="7"/>
  <c r="I74" i="8"/>
  <c r="G93" i="7"/>
  <c r="I93" i="7"/>
  <c r="D93" i="7"/>
  <c r="B89" i="8"/>
  <c r="C89" i="8" s="1"/>
  <c r="D89" i="8" s="1"/>
  <c r="G89" i="8" s="1"/>
  <c r="F89" i="8"/>
  <c r="I89" i="8" s="1"/>
  <c r="F209" i="8"/>
  <c r="H209" i="8" s="1"/>
  <c r="B209" i="8"/>
  <c r="C209" i="8" s="1"/>
  <c r="D209" i="8" s="1"/>
  <c r="G209" i="8" s="1"/>
  <c r="B91" i="8"/>
  <c r="C91" i="8" s="1"/>
  <c r="D91" i="8" s="1"/>
  <c r="G91" i="8" s="1"/>
  <c r="F91" i="8"/>
  <c r="H91" i="8" s="1"/>
  <c r="G73" i="7"/>
  <c r="I73" i="7"/>
  <c r="D73" i="7"/>
  <c r="H34" i="8"/>
  <c r="H171" i="7"/>
  <c r="J171" i="7"/>
  <c r="B50" i="8"/>
  <c r="C50" i="8" s="1"/>
  <c r="D50" i="8" s="1"/>
  <c r="G50" i="8" s="1"/>
  <c r="F50" i="8"/>
  <c r="I50" i="8" s="1"/>
  <c r="F170" i="8"/>
  <c r="I170" i="8" s="1"/>
  <c r="B170" i="8"/>
  <c r="C170" i="8" s="1"/>
  <c r="D170" i="8" s="1"/>
  <c r="G170" i="8" s="1"/>
  <c r="I216" i="7"/>
  <c r="G216" i="7"/>
  <c r="D216" i="7"/>
  <c r="H14" i="7"/>
  <c r="J14" i="7"/>
  <c r="B29" i="8"/>
  <c r="C29" i="8" s="1"/>
  <c r="D29" i="8" s="1"/>
  <c r="G29" i="8" s="1"/>
  <c r="F29" i="8"/>
  <c r="I29" i="8" s="1"/>
  <c r="B11" i="8"/>
  <c r="C11" i="8" s="1"/>
  <c r="D11" i="8" s="1"/>
  <c r="G11" i="8" s="1"/>
  <c r="F11" i="8"/>
  <c r="H11" i="8" s="1"/>
  <c r="F131" i="8"/>
  <c r="I131" i="8" s="1"/>
  <c r="B131" i="8"/>
  <c r="C131" i="8" s="1"/>
  <c r="D131" i="8" s="1"/>
  <c r="G131" i="8" s="1"/>
  <c r="J177" i="7"/>
  <c r="H17" i="7"/>
  <c r="G197" i="7"/>
  <c r="D197" i="7"/>
  <c r="I197" i="7"/>
  <c r="I97" i="7"/>
  <c r="G97" i="7"/>
  <c r="D97" i="7"/>
  <c r="D157" i="7"/>
  <c r="G157" i="7"/>
  <c r="I157" i="7"/>
  <c r="D57" i="7"/>
  <c r="G57" i="7"/>
  <c r="I57" i="7"/>
  <c r="G137" i="7"/>
  <c r="I137" i="7"/>
  <c r="D137" i="7"/>
  <c r="G117" i="7"/>
  <c r="D117" i="7"/>
  <c r="I117" i="7"/>
  <c r="AY33" i="12"/>
  <c r="BA32" i="12"/>
  <c r="BB32" i="12" s="1"/>
  <c r="BF92" i="12"/>
  <c r="AX92" i="12"/>
  <c r="BF71" i="12"/>
  <c r="AX71" i="12"/>
  <c r="BE93" i="12"/>
  <c r="AU94" i="12"/>
  <c r="AW93" i="12"/>
  <c r="BF30" i="12"/>
  <c r="AX30" i="12"/>
  <c r="BE51" i="12"/>
  <c r="AU52" i="12"/>
  <c r="AW51" i="12"/>
  <c r="BE72" i="12"/>
  <c r="AU73" i="12"/>
  <c r="AW72" i="12"/>
  <c r="AU32" i="12"/>
  <c r="BE31" i="12"/>
  <c r="AW31" i="12"/>
  <c r="BF50" i="12"/>
  <c r="AX50" i="12"/>
  <c r="BC117" i="13"/>
  <c r="AQ118" i="13"/>
  <c r="AU117" i="13"/>
  <c r="BE116" i="13"/>
  <c r="AQ53" i="12"/>
  <c r="BC52" i="12"/>
  <c r="AS52" i="12"/>
  <c r="AX116" i="12"/>
  <c r="BF116" i="12"/>
  <c r="BD31" i="12"/>
  <c r="AT31" i="12"/>
  <c r="AU118" i="12"/>
  <c r="BE117" i="12"/>
  <c r="AW117" i="12"/>
  <c r="BD93" i="12"/>
  <c r="AT93" i="12"/>
  <c r="AY97" i="12"/>
  <c r="BA96" i="12"/>
  <c r="BB96" i="12" s="1"/>
  <c r="AT72" i="12"/>
  <c r="BD72" i="12"/>
  <c r="AQ33" i="12"/>
  <c r="BC32" i="12"/>
  <c r="AS32" i="12"/>
  <c r="AQ95" i="12"/>
  <c r="BC94" i="12"/>
  <c r="AS94" i="12"/>
  <c r="AM75" i="12"/>
  <c r="AO74" i="12"/>
  <c r="AP74" i="12" s="1"/>
  <c r="BD116" i="12"/>
  <c r="AT116" i="12"/>
  <c r="BC117" i="12"/>
  <c r="AQ118" i="12"/>
  <c r="AS117" i="12"/>
  <c r="AQ74" i="12"/>
  <c r="BC73" i="12"/>
  <c r="AS73" i="12"/>
  <c r="AM96" i="12"/>
  <c r="AO95" i="12"/>
  <c r="AP95" i="12" s="1"/>
  <c r="AT51" i="12"/>
  <c r="BD51" i="12"/>
  <c r="F11" i="1"/>
  <c r="D14" i="6" s="1"/>
  <c r="D29" i="6" s="1"/>
  <c r="Q27" i="6"/>
  <c r="Q26" i="6"/>
  <c r="H91" i="7" l="1"/>
  <c r="H109" i="8"/>
  <c r="H152" i="7"/>
  <c r="H52" i="7"/>
  <c r="J111" i="7"/>
  <c r="F10" i="1"/>
  <c r="D13" i="6" s="1"/>
  <c r="D28" i="6" s="1"/>
  <c r="G33" i="3"/>
  <c r="G48" i="3" s="1"/>
  <c r="F48" i="3" s="1"/>
  <c r="J132" i="7"/>
  <c r="H230" i="7"/>
  <c r="I189" i="8"/>
  <c r="J30" i="7"/>
  <c r="I210" i="8"/>
  <c r="H170" i="7"/>
  <c r="H69" i="8"/>
  <c r="H71" i="7"/>
  <c r="H110" i="7"/>
  <c r="J232" i="7"/>
  <c r="J31" i="7"/>
  <c r="I149" i="8"/>
  <c r="J192" i="7"/>
  <c r="H210" i="7"/>
  <c r="H212" i="7"/>
  <c r="H169" i="8"/>
  <c r="H29" i="8"/>
  <c r="I130" i="8"/>
  <c r="H50" i="8"/>
  <c r="I209" i="8"/>
  <c r="H129" i="8"/>
  <c r="J130" i="7"/>
  <c r="H190" i="8"/>
  <c r="J72" i="7"/>
  <c r="H131" i="7"/>
  <c r="I90" i="8"/>
  <c r="H230" i="8"/>
  <c r="H11" i="7"/>
  <c r="H90" i="7"/>
  <c r="J151" i="7"/>
  <c r="H89" i="8"/>
  <c r="I229" i="8"/>
  <c r="H49" i="8"/>
  <c r="H9" i="8"/>
  <c r="H51" i="7"/>
  <c r="H172" i="7"/>
  <c r="H110" i="8"/>
  <c r="H70" i="7"/>
  <c r="G32" i="3"/>
  <c r="E8" i="1"/>
  <c r="J11" i="3" s="1"/>
  <c r="H211" i="7"/>
  <c r="H32" i="7"/>
  <c r="H170" i="8"/>
  <c r="H231" i="8"/>
  <c r="I10" i="8"/>
  <c r="I70" i="8"/>
  <c r="H71" i="8"/>
  <c r="J231" i="7"/>
  <c r="H150" i="8"/>
  <c r="I30" i="8"/>
  <c r="I211" i="8"/>
  <c r="I31" i="8"/>
  <c r="H131" i="8"/>
  <c r="J12" i="7"/>
  <c r="I111" i="8"/>
  <c r="I151" i="8"/>
  <c r="I11" i="8"/>
  <c r="I171" i="8"/>
  <c r="I51" i="8"/>
  <c r="H92" i="7"/>
  <c r="H191" i="8"/>
  <c r="I91" i="8"/>
  <c r="H173" i="7"/>
  <c r="J173" i="7"/>
  <c r="J76" i="7"/>
  <c r="H76" i="7"/>
  <c r="J16" i="7"/>
  <c r="H16" i="7"/>
  <c r="H193" i="7"/>
  <c r="J193" i="7"/>
  <c r="J93" i="7"/>
  <c r="H93" i="7"/>
  <c r="J36" i="7"/>
  <c r="H36" i="7"/>
  <c r="J96" i="7"/>
  <c r="H96" i="7"/>
  <c r="J33" i="7"/>
  <c r="H33" i="7"/>
  <c r="J236" i="7"/>
  <c r="H236" i="7"/>
  <c r="J216" i="7"/>
  <c r="H216" i="7"/>
  <c r="J73" i="7"/>
  <c r="H73" i="7"/>
  <c r="H153" i="7"/>
  <c r="J153" i="7"/>
  <c r="H156" i="7"/>
  <c r="J156" i="7"/>
  <c r="H133" i="7"/>
  <c r="J133" i="7"/>
  <c r="H157" i="7"/>
  <c r="J157" i="7"/>
  <c r="H97" i="7"/>
  <c r="J97" i="7"/>
  <c r="H57" i="7"/>
  <c r="J57" i="7"/>
  <c r="H197" i="7"/>
  <c r="J197" i="7"/>
  <c r="J137" i="7"/>
  <c r="H137" i="7"/>
  <c r="J117" i="7"/>
  <c r="H117" i="7"/>
  <c r="AY34" i="12"/>
  <c r="BA33" i="12"/>
  <c r="BB33" i="12" s="1"/>
  <c r="BE32" i="12"/>
  <c r="AW32" i="12"/>
  <c r="AU33" i="12"/>
  <c r="AX93" i="12"/>
  <c r="BF93" i="12"/>
  <c r="AW73" i="12"/>
  <c r="AU74" i="12"/>
  <c r="BE73" i="12"/>
  <c r="BF51" i="12"/>
  <c r="AX51" i="12"/>
  <c r="BE94" i="12"/>
  <c r="AU95" i="12"/>
  <c r="AW94" i="12"/>
  <c r="BE52" i="12"/>
  <c r="AU53" i="12"/>
  <c r="AW52" i="12"/>
  <c r="AX72" i="12"/>
  <c r="BF72" i="12"/>
  <c r="AX31" i="12"/>
  <c r="BF31" i="12"/>
  <c r="AU118" i="13"/>
  <c r="BE117" i="13"/>
  <c r="AQ119" i="13"/>
  <c r="BC118" i="13"/>
  <c r="BE118" i="12"/>
  <c r="AU119" i="12"/>
  <c r="AW118" i="12"/>
  <c r="BD94" i="12"/>
  <c r="AT94" i="12"/>
  <c r="AQ96" i="12"/>
  <c r="BC95" i="12"/>
  <c r="AS95" i="12"/>
  <c r="BD32" i="12"/>
  <c r="AT32" i="12"/>
  <c r="AQ75" i="12"/>
  <c r="BC74" i="12"/>
  <c r="AS74" i="12"/>
  <c r="BD117" i="12"/>
  <c r="AT117" i="12"/>
  <c r="AQ119" i="12"/>
  <c r="BC118" i="12"/>
  <c r="AS118" i="12"/>
  <c r="AQ34" i="12"/>
  <c r="BC33" i="12"/>
  <c r="AS33" i="12"/>
  <c r="AT52" i="12"/>
  <c r="BD52" i="12"/>
  <c r="AY98" i="12"/>
  <c r="BA97" i="12"/>
  <c r="BB97" i="12" s="1"/>
  <c r="AM76" i="12"/>
  <c r="AO75" i="12"/>
  <c r="AP75" i="12" s="1"/>
  <c r="AT73" i="12"/>
  <c r="BD73" i="12"/>
  <c r="BF117" i="12"/>
  <c r="AX117" i="12"/>
  <c r="AM97" i="12"/>
  <c r="AO96" i="12"/>
  <c r="AP96" i="12" s="1"/>
  <c r="AQ54" i="12"/>
  <c r="BC53" i="12"/>
  <c r="AS53" i="12"/>
  <c r="H33" i="3" l="1"/>
  <c r="F8" i="1"/>
  <c r="D11" i="6" s="1"/>
  <c r="D26" i="6" s="1"/>
  <c r="G31" i="3"/>
  <c r="J12" i="3"/>
  <c r="H32" i="3"/>
  <c r="G47" i="3"/>
  <c r="F47" i="3" s="1"/>
  <c r="H47" i="3" s="1"/>
  <c r="AY35" i="12"/>
  <c r="BA34" i="12"/>
  <c r="BB34" i="12" s="1"/>
  <c r="AW53" i="12"/>
  <c r="BE53" i="12"/>
  <c r="AU54" i="12"/>
  <c r="AX73" i="12"/>
  <c r="BF73" i="12"/>
  <c r="BF52" i="12"/>
  <c r="AX52" i="12"/>
  <c r="AU75" i="12"/>
  <c r="BE74" i="12"/>
  <c r="AW74" i="12"/>
  <c r="BF94" i="12"/>
  <c r="AX94" i="12"/>
  <c r="BE95" i="12"/>
  <c r="AW95" i="12"/>
  <c r="AU96" i="12"/>
  <c r="AU34" i="12"/>
  <c r="BE33" i="12"/>
  <c r="AW33" i="12"/>
  <c r="AX32" i="12"/>
  <c r="BF32" i="12"/>
  <c r="BE118" i="13"/>
  <c r="AU119" i="13"/>
  <c r="AQ120" i="13"/>
  <c r="BC119" i="13"/>
  <c r="AQ76" i="12"/>
  <c r="BC75" i="12"/>
  <c r="AS75" i="12"/>
  <c r="BD118" i="12"/>
  <c r="AT118" i="12"/>
  <c r="AQ55" i="12"/>
  <c r="BC54" i="12"/>
  <c r="AS54" i="12"/>
  <c r="AQ120" i="12"/>
  <c r="BC119" i="12"/>
  <c r="AS119" i="12"/>
  <c r="AT53" i="12"/>
  <c r="BD53" i="12"/>
  <c r="AY99" i="12"/>
  <c r="BA98" i="12"/>
  <c r="BB98" i="12" s="1"/>
  <c r="BD33" i="12"/>
  <c r="AT33" i="12"/>
  <c r="AM77" i="12"/>
  <c r="AO76" i="12"/>
  <c r="AP76" i="12" s="1"/>
  <c r="BD95" i="12"/>
  <c r="AT95" i="12"/>
  <c r="AX118" i="12"/>
  <c r="BF118" i="12"/>
  <c r="BC34" i="12"/>
  <c r="AQ35" i="12"/>
  <c r="AS34" i="12"/>
  <c r="AT74" i="12"/>
  <c r="BD74" i="12"/>
  <c r="AU120" i="12"/>
  <c r="BE119" i="12"/>
  <c r="AW119" i="12"/>
  <c r="AM98" i="12"/>
  <c r="AO97" i="12"/>
  <c r="AP97" i="12" s="1"/>
  <c r="AQ97" i="12"/>
  <c r="BC96" i="12"/>
  <c r="AS96" i="12"/>
  <c r="G46" i="3" l="1"/>
  <c r="H46" i="3" s="1"/>
  <c r="H31" i="3"/>
  <c r="H39" i="3" s="1"/>
  <c r="AY36" i="12"/>
  <c r="BA35" i="12"/>
  <c r="BB35" i="12" s="1"/>
  <c r="BF95" i="12"/>
  <c r="AX95" i="12"/>
  <c r="AX74" i="12"/>
  <c r="BF74" i="12"/>
  <c r="AU97" i="12"/>
  <c r="AW96" i="12"/>
  <c r="BE96" i="12"/>
  <c r="BF53" i="12"/>
  <c r="AX53" i="12"/>
  <c r="AU35" i="12"/>
  <c r="BE34" i="12"/>
  <c r="AW34" i="12"/>
  <c r="BF33" i="12"/>
  <c r="AX33" i="12"/>
  <c r="BE75" i="12"/>
  <c r="AU76" i="12"/>
  <c r="AW75" i="12"/>
  <c r="BE54" i="12"/>
  <c r="AW54" i="12"/>
  <c r="AU55" i="12"/>
  <c r="AU120" i="13"/>
  <c r="BE119" i="13"/>
  <c r="AQ121" i="13"/>
  <c r="BC120" i="13"/>
  <c r="AX119" i="12"/>
  <c r="BF119" i="12"/>
  <c r="BD96" i="12"/>
  <c r="AT96" i="12"/>
  <c r="AT54" i="12"/>
  <c r="BD54" i="12"/>
  <c r="AQ98" i="12"/>
  <c r="BC97" i="12"/>
  <c r="AS97" i="12"/>
  <c r="BD34" i="12"/>
  <c r="AT34" i="12"/>
  <c r="BD119" i="12"/>
  <c r="AT119" i="12"/>
  <c r="AT75" i="12"/>
  <c r="BD75" i="12"/>
  <c r="AU121" i="12"/>
  <c r="BE120" i="12"/>
  <c r="AW120" i="12"/>
  <c r="AY100" i="12"/>
  <c r="BA99" i="12"/>
  <c r="BB99" i="12" s="1"/>
  <c r="AM99" i="12"/>
  <c r="AO98" i="12"/>
  <c r="AP98" i="12" s="1"/>
  <c r="BC35" i="12"/>
  <c r="AQ36" i="12"/>
  <c r="AS35" i="12"/>
  <c r="AQ56" i="12"/>
  <c r="BC55" i="12"/>
  <c r="AS55" i="12"/>
  <c r="AM78" i="12"/>
  <c r="AO77" i="12"/>
  <c r="AP77" i="12" s="1"/>
  <c r="BC120" i="12"/>
  <c r="AQ121" i="12"/>
  <c r="AS120" i="12"/>
  <c r="AQ77" i="12"/>
  <c r="BC76" i="12"/>
  <c r="AS76" i="12"/>
  <c r="AY37" i="12" l="1"/>
  <c r="BA36" i="12"/>
  <c r="BB36" i="12" s="1"/>
  <c r="AW76" i="12"/>
  <c r="AU77" i="12"/>
  <c r="BE76" i="12"/>
  <c r="AX96" i="12"/>
  <c r="BF96" i="12"/>
  <c r="AW35" i="12"/>
  <c r="AU36" i="12"/>
  <c r="BE35" i="12"/>
  <c r="BF75" i="12"/>
  <c r="AX75" i="12"/>
  <c r="AU98" i="12"/>
  <c r="BE97" i="12"/>
  <c r="AW97" i="12"/>
  <c r="AU56" i="12"/>
  <c r="BE55" i="12"/>
  <c r="AW55" i="12"/>
  <c r="BF34" i="12"/>
  <c r="AX34" i="12"/>
  <c r="AX54" i="12"/>
  <c r="BF54" i="12"/>
  <c r="AQ122" i="13"/>
  <c r="BC121" i="13"/>
  <c r="BE120" i="13"/>
  <c r="AU121" i="13"/>
  <c r="AT76" i="12"/>
  <c r="BD76" i="12"/>
  <c r="AX120" i="12"/>
  <c r="BF120" i="12"/>
  <c r="AQ78" i="12"/>
  <c r="BC77" i="12"/>
  <c r="AS77" i="12"/>
  <c r="BC36" i="12"/>
  <c r="AQ37" i="12"/>
  <c r="AS36" i="12"/>
  <c r="AM79" i="12"/>
  <c r="AO78" i="12"/>
  <c r="AP78" i="12" s="1"/>
  <c r="AU122" i="12"/>
  <c r="BE121" i="12"/>
  <c r="AW121" i="12"/>
  <c r="BC56" i="12"/>
  <c r="AQ57" i="12"/>
  <c r="AS56" i="12"/>
  <c r="BD120" i="12"/>
  <c r="AT120" i="12"/>
  <c r="BC121" i="12"/>
  <c r="AQ122" i="12"/>
  <c r="AS121" i="12"/>
  <c r="AM100" i="12"/>
  <c r="AO99" i="12"/>
  <c r="AP99" i="12" s="1"/>
  <c r="BD97" i="12"/>
  <c r="AT97" i="12"/>
  <c r="AT55" i="12"/>
  <c r="BD55" i="12"/>
  <c r="BD35" i="12"/>
  <c r="AT35" i="12"/>
  <c r="AY101" i="12"/>
  <c r="BA100" i="12"/>
  <c r="BB100" i="12" s="1"/>
  <c r="BC98" i="12"/>
  <c r="AQ99" i="12"/>
  <c r="AS98" i="12"/>
  <c r="AY38" i="12" l="1"/>
  <c r="BA37" i="12"/>
  <c r="BB37" i="12" s="1"/>
  <c r="AU78" i="12"/>
  <c r="BE77" i="12"/>
  <c r="AW77" i="12"/>
  <c r="BF76" i="12"/>
  <c r="AX76" i="12"/>
  <c r="AU37" i="12"/>
  <c r="AW36" i="12"/>
  <c r="BE36" i="12"/>
  <c r="AU57" i="12"/>
  <c r="BE56" i="12"/>
  <c r="AW56" i="12"/>
  <c r="AX35" i="12"/>
  <c r="BF35" i="12"/>
  <c r="BF55" i="12"/>
  <c r="AX55" i="12"/>
  <c r="AX97" i="12"/>
  <c r="BF97" i="12"/>
  <c r="AU99" i="12"/>
  <c r="BE98" i="12"/>
  <c r="AW98" i="12"/>
  <c r="AU122" i="13"/>
  <c r="BE121" i="13"/>
  <c r="AQ123" i="13"/>
  <c r="BC122" i="13"/>
  <c r="BD121" i="12"/>
  <c r="AT121" i="12"/>
  <c r="AM80" i="12"/>
  <c r="AO79" i="12"/>
  <c r="AP79" i="12" s="1"/>
  <c r="BC122" i="12"/>
  <c r="AQ123" i="12"/>
  <c r="AS122" i="12"/>
  <c r="AY102" i="12"/>
  <c r="BA101" i="12"/>
  <c r="BB101" i="12" s="1"/>
  <c r="BC37" i="12"/>
  <c r="AQ38" i="12"/>
  <c r="AS37" i="12"/>
  <c r="AQ100" i="12"/>
  <c r="BC99" i="12"/>
  <c r="AS99" i="12"/>
  <c r="AU123" i="12"/>
  <c r="BE122" i="12"/>
  <c r="AW122" i="12"/>
  <c r="BD36" i="12"/>
  <c r="AT36" i="12"/>
  <c r="AT77" i="12"/>
  <c r="BD77" i="12"/>
  <c r="AM101" i="12"/>
  <c r="AO100" i="12"/>
  <c r="AP100" i="12" s="1"/>
  <c r="AT56" i="12"/>
  <c r="BD56" i="12"/>
  <c r="AQ79" i="12"/>
  <c r="BC78" i="12"/>
  <c r="AS78" i="12"/>
  <c r="BD98" i="12"/>
  <c r="AT98" i="12"/>
  <c r="BC57" i="12"/>
  <c r="AQ58" i="12"/>
  <c r="AS57" i="12"/>
  <c r="BF121" i="12"/>
  <c r="AX121" i="12"/>
  <c r="AY39" i="12" l="1"/>
  <c r="BA38" i="12"/>
  <c r="BB38" i="12" s="1"/>
  <c r="BF36" i="12"/>
  <c r="AX36" i="12"/>
  <c r="BE37" i="12"/>
  <c r="AU38" i="12"/>
  <c r="AW37" i="12"/>
  <c r="AW99" i="12"/>
  <c r="BE99" i="12"/>
  <c r="AU100" i="12"/>
  <c r="AU58" i="12"/>
  <c r="BE57" i="12"/>
  <c r="AW57" i="12"/>
  <c r="BE78" i="12"/>
  <c r="AW78" i="12"/>
  <c r="AU79" i="12"/>
  <c r="BF98" i="12"/>
  <c r="AX98" i="12"/>
  <c r="BF56" i="12"/>
  <c r="AX56" i="12"/>
  <c r="AX77" i="12"/>
  <c r="BF77" i="12"/>
  <c r="AQ124" i="13"/>
  <c r="BC123" i="13"/>
  <c r="BE122" i="13"/>
  <c r="AU123" i="13"/>
  <c r="BE123" i="12"/>
  <c r="AU124" i="12"/>
  <c r="AW123" i="12"/>
  <c r="AM81" i="12"/>
  <c r="AO80" i="12"/>
  <c r="AP80" i="12" s="1"/>
  <c r="AM102" i="12"/>
  <c r="AO101" i="12"/>
  <c r="AP101" i="12" s="1"/>
  <c r="AQ101" i="12"/>
  <c r="BC100" i="12"/>
  <c r="AS100" i="12"/>
  <c r="AQ80" i="12"/>
  <c r="BC79" i="12"/>
  <c r="AS79" i="12"/>
  <c r="BD99" i="12"/>
  <c r="AT99" i="12"/>
  <c r="BD37" i="12"/>
  <c r="AT37" i="12"/>
  <c r="BD78" i="12"/>
  <c r="AT78" i="12"/>
  <c r="AQ39" i="12"/>
  <c r="BC38" i="12"/>
  <c r="AS38" i="12"/>
  <c r="BD122" i="12"/>
  <c r="AT122" i="12"/>
  <c r="AY103" i="12"/>
  <c r="BA103" i="12" s="1"/>
  <c r="BB103" i="12" s="1"/>
  <c r="BA102" i="12"/>
  <c r="BB102" i="12" s="1"/>
  <c r="AT57" i="12"/>
  <c r="BD57" i="12"/>
  <c r="BC58" i="12"/>
  <c r="AQ59" i="12"/>
  <c r="AS58" i="12"/>
  <c r="BF122" i="12"/>
  <c r="AX122" i="12"/>
  <c r="AQ124" i="12"/>
  <c r="BC123" i="12"/>
  <c r="AS123" i="12"/>
  <c r="AY40" i="12" l="1"/>
  <c r="BA39" i="12"/>
  <c r="BB39" i="12" s="1"/>
  <c r="AW100" i="12"/>
  <c r="BE100" i="12"/>
  <c r="AU101" i="12"/>
  <c r="AX99" i="12"/>
  <c r="BF99" i="12"/>
  <c r="BF78" i="12"/>
  <c r="AX78" i="12"/>
  <c r="AX37" i="12"/>
  <c r="BF37" i="12"/>
  <c r="AW79" i="12"/>
  <c r="BE79" i="12"/>
  <c r="AU80" i="12"/>
  <c r="BE38" i="12"/>
  <c r="AU39" i="12"/>
  <c r="AW38" i="12"/>
  <c r="AX57" i="12"/>
  <c r="BF57" i="12"/>
  <c r="BE58" i="12"/>
  <c r="AU59" i="12"/>
  <c r="AW58" i="12"/>
  <c r="AQ125" i="13"/>
  <c r="BC124" i="13"/>
  <c r="AU124" i="13"/>
  <c r="BE123" i="13"/>
  <c r="BD38" i="12"/>
  <c r="AT38" i="12"/>
  <c r="BC124" i="12"/>
  <c r="AQ125" i="12"/>
  <c r="AS124" i="12"/>
  <c r="BD100" i="12"/>
  <c r="AT100" i="12"/>
  <c r="AQ40" i="12"/>
  <c r="BC39" i="12"/>
  <c r="AS39" i="12"/>
  <c r="AX123" i="12"/>
  <c r="BF123" i="12"/>
  <c r="BC101" i="12"/>
  <c r="AQ102" i="12"/>
  <c r="AS101" i="12"/>
  <c r="AU125" i="12"/>
  <c r="BE124" i="12"/>
  <c r="AW124" i="12"/>
  <c r="BD123" i="12"/>
  <c r="AT123" i="12"/>
  <c r="AT58" i="12"/>
  <c r="BD58" i="12"/>
  <c r="AQ81" i="12"/>
  <c r="BC80" i="12"/>
  <c r="AS80" i="12"/>
  <c r="AM82" i="12"/>
  <c r="AO82" i="12" s="1"/>
  <c r="AP82" i="12" s="1"/>
  <c r="AO81" i="12"/>
  <c r="AP81" i="12" s="1"/>
  <c r="BC59" i="12"/>
  <c r="AQ60" i="12"/>
  <c r="AS59" i="12"/>
  <c r="AM103" i="12"/>
  <c r="AO103" i="12" s="1"/>
  <c r="AP103" i="12" s="1"/>
  <c r="AO102" i="12"/>
  <c r="AP102" i="12" s="1"/>
  <c r="AT79" i="12"/>
  <c r="BD79" i="12"/>
  <c r="AB7" i="13" l="1"/>
  <c r="H20" i="13"/>
  <c r="C30" i="13"/>
  <c r="H18" i="13"/>
  <c r="BF18" i="13"/>
  <c r="BF17" i="13" s="1"/>
  <c r="BF22" i="13"/>
  <c r="BF19" i="13"/>
  <c r="BF21" i="13"/>
  <c r="BF20" i="13"/>
  <c r="AY41" i="12"/>
  <c r="BA41" i="12" s="1"/>
  <c r="BB41" i="12" s="1"/>
  <c r="BA40" i="12"/>
  <c r="BB40" i="12" s="1"/>
  <c r="BE39" i="12"/>
  <c r="AU40" i="12"/>
  <c r="AW39" i="12"/>
  <c r="AX38" i="12"/>
  <c r="BF38" i="12"/>
  <c r="BF58" i="12"/>
  <c r="AX58" i="12"/>
  <c r="AU81" i="12"/>
  <c r="AW80" i="12"/>
  <c r="BE80" i="12"/>
  <c r="AU60" i="12"/>
  <c r="BE59" i="12"/>
  <c r="AW59" i="12"/>
  <c r="BE101" i="12"/>
  <c r="AW101" i="12"/>
  <c r="AU102" i="12"/>
  <c r="BF79" i="12"/>
  <c r="AX79" i="12"/>
  <c r="AX100" i="12"/>
  <c r="BF100" i="12"/>
  <c r="BC125" i="13"/>
  <c r="AQ126" i="13"/>
  <c r="BE124" i="13"/>
  <c r="AU125" i="13"/>
  <c r="BC60" i="12"/>
  <c r="AQ61" i="12"/>
  <c r="AS60" i="12"/>
  <c r="BD124" i="12"/>
  <c r="AT124" i="12"/>
  <c r="AT59" i="12"/>
  <c r="BD59" i="12"/>
  <c r="BD101" i="12"/>
  <c r="AT101" i="12"/>
  <c r="AQ82" i="12"/>
  <c r="BC81" i="12"/>
  <c r="AS81" i="12"/>
  <c r="AX124" i="12"/>
  <c r="BF124" i="12"/>
  <c r="AU126" i="12"/>
  <c r="BE125" i="12"/>
  <c r="AW125" i="12"/>
  <c r="AQ103" i="12"/>
  <c r="BC102" i="12"/>
  <c r="AS102" i="12"/>
  <c r="AQ41" i="12"/>
  <c r="BC40" i="12"/>
  <c r="AS40" i="12"/>
  <c r="AQ126" i="12"/>
  <c r="BC125" i="12"/>
  <c r="AS125" i="12"/>
  <c r="AT39" i="12"/>
  <c r="BD39" i="12"/>
  <c r="AT80" i="12"/>
  <c r="BD80" i="12"/>
  <c r="H19" i="13" l="1"/>
  <c r="AW6" i="13" s="1"/>
  <c r="AS6" i="13"/>
  <c r="BA6" i="13"/>
  <c r="AX132" i="13"/>
  <c r="AW132" i="13" s="1"/>
  <c r="BF132" i="13" s="1"/>
  <c r="AX138" i="13"/>
  <c r="AW138" i="13" s="1"/>
  <c r="BF138" i="13" s="1"/>
  <c r="AT139" i="13"/>
  <c r="AS139" i="13" s="1"/>
  <c r="BD139" i="13" s="1"/>
  <c r="AT140" i="13"/>
  <c r="AS140" i="13" s="1"/>
  <c r="BD140" i="13" s="1"/>
  <c r="AT135" i="13"/>
  <c r="AS135" i="13" s="1"/>
  <c r="BD135" i="13" s="1"/>
  <c r="AX131" i="13"/>
  <c r="AW131" i="13" s="1"/>
  <c r="BF131" i="13" s="1"/>
  <c r="BB139" i="13"/>
  <c r="BA139" i="13" s="1"/>
  <c r="AX134" i="13"/>
  <c r="AW134" i="13" s="1"/>
  <c r="BF134" i="13" s="1"/>
  <c r="AT137" i="13"/>
  <c r="AS137" i="13" s="1"/>
  <c r="BD137" i="13" s="1"/>
  <c r="AX133" i="13"/>
  <c r="AW133" i="13" s="1"/>
  <c r="BF133" i="13" s="1"/>
  <c r="AX137" i="13"/>
  <c r="AW137" i="13" s="1"/>
  <c r="BF137" i="13" s="1"/>
  <c r="AT134" i="13"/>
  <c r="AS134" i="13" s="1"/>
  <c r="BD134" i="13" s="1"/>
  <c r="AT131" i="13"/>
  <c r="AS131" i="13" s="1"/>
  <c r="BD131" i="13" s="1"/>
  <c r="BB131" i="13"/>
  <c r="BA131" i="13" s="1"/>
  <c r="AT132" i="13"/>
  <c r="AS132" i="13" s="1"/>
  <c r="BD132" i="13" s="1"/>
  <c r="AT133" i="13"/>
  <c r="AS133" i="13" s="1"/>
  <c r="BD133" i="13" s="1"/>
  <c r="AT138" i="13"/>
  <c r="AS138" i="13" s="1"/>
  <c r="BD138" i="13" s="1"/>
  <c r="AX140" i="13"/>
  <c r="AW140" i="13" s="1"/>
  <c r="BF140" i="13" s="1"/>
  <c r="AX136" i="13"/>
  <c r="AW136" i="13" s="1"/>
  <c r="BF136" i="13" s="1"/>
  <c r="AT136" i="13"/>
  <c r="AS136" i="13" s="1"/>
  <c r="BD136" i="13" s="1"/>
  <c r="BB138" i="13"/>
  <c r="BA138" i="13" s="1"/>
  <c r="AX135" i="13"/>
  <c r="AW135" i="13" s="1"/>
  <c r="BF135" i="13" s="1"/>
  <c r="AX139" i="13"/>
  <c r="AW139" i="13" s="1"/>
  <c r="BF139" i="13" s="1"/>
  <c r="BB137" i="13"/>
  <c r="BA137" i="13" s="1"/>
  <c r="BB140" i="13"/>
  <c r="BA140" i="13" s="1"/>
  <c r="AP134" i="13"/>
  <c r="AO134" i="13" s="1"/>
  <c r="BB135" i="13"/>
  <c r="BA135" i="13" s="1"/>
  <c r="AP133" i="13"/>
  <c r="AO133" i="13" s="1"/>
  <c r="AP139" i="13"/>
  <c r="AO139" i="13" s="1"/>
  <c r="AP137" i="13"/>
  <c r="AO137" i="13" s="1"/>
  <c r="BB132" i="13"/>
  <c r="BA132" i="13" s="1"/>
  <c r="AP136" i="13"/>
  <c r="AO136" i="13" s="1"/>
  <c r="BB133" i="13"/>
  <c r="BA133" i="13" s="1"/>
  <c r="AP135" i="13"/>
  <c r="AO135" i="13" s="1"/>
  <c r="AP131" i="13"/>
  <c r="AO131" i="13" s="1"/>
  <c r="BB136" i="13"/>
  <c r="BA136" i="13" s="1"/>
  <c r="AP140" i="13"/>
  <c r="AO140" i="13" s="1"/>
  <c r="BB134" i="13"/>
  <c r="BA134" i="13" s="1"/>
  <c r="AP132" i="13"/>
  <c r="AO132" i="13" s="1"/>
  <c r="AP138" i="13"/>
  <c r="AO138" i="13" s="1"/>
  <c r="H17" i="13"/>
  <c r="C24" i="13"/>
  <c r="AE7" i="13"/>
  <c r="H25" i="13" s="1"/>
  <c r="AU82" i="12"/>
  <c r="BE81" i="12"/>
  <c r="AW81" i="12"/>
  <c r="BF59" i="12"/>
  <c r="AX59" i="12"/>
  <c r="AW60" i="12"/>
  <c r="AU61" i="12"/>
  <c r="BE60" i="12"/>
  <c r="BF39" i="12"/>
  <c r="AX39" i="12"/>
  <c r="AW102" i="12"/>
  <c r="BE102" i="12"/>
  <c r="AU103" i="12"/>
  <c r="BE40" i="12"/>
  <c r="AU41" i="12"/>
  <c r="AW40" i="12"/>
  <c r="AX101" i="12"/>
  <c r="BF101" i="12"/>
  <c r="AX80" i="12"/>
  <c r="BF80" i="12"/>
  <c r="AQ127" i="13"/>
  <c r="BC126" i="13"/>
  <c r="AU126" i="13"/>
  <c r="BE125" i="13"/>
  <c r="BC103" i="12"/>
  <c r="AS103" i="12"/>
  <c r="AT81" i="12"/>
  <c r="BD81" i="12"/>
  <c r="BC82" i="12"/>
  <c r="AS82" i="12"/>
  <c r="BD40" i="12"/>
  <c r="AT40" i="12"/>
  <c r="AX125" i="12"/>
  <c r="BF125" i="12"/>
  <c r="AT60" i="12"/>
  <c r="BD60" i="12"/>
  <c r="BC126" i="12"/>
  <c r="AQ127" i="12"/>
  <c r="AS126" i="12"/>
  <c r="AU127" i="12"/>
  <c r="BE126" i="12"/>
  <c r="AW126" i="12"/>
  <c r="BC61" i="12"/>
  <c r="AQ62" i="12"/>
  <c r="AS61" i="12"/>
  <c r="BC41" i="12"/>
  <c r="AS41" i="12"/>
  <c r="BD125" i="12"/>
  <c r="AT125" i="12"/>
  <c r="BD102" i="12"/>
  <c r="AT102" i="12"/>
  <c r="E29" i="13" l="1"/>
  <c r="I25" i="13"/>
  <c r="AC17" i="13" s="1"/>
  <c r="AB21" i="13"/>
  <c r="AB17" i="13"/>
  <c r="H29" i="13"/>
  <c r="H26" i="13"/>
  <c r="H24" i="13"/>
  <c r="AO6" i="13"/>
  <c r="H23" i="13"/>
  <c r="AY83" i="13"/>
  <c r="AY42" i="13"/>
  <c r="AM42" i="13"/>
  <c r="AM83" i="13"/>
  <c r="AX40" i="12"/>
  <c r="BF40" i="12"/>
  <c r="BF60" i="12"/>
  <c r="AX60" i="12"/>
  <c r="AW103" i="12"/>
  <c r="BE103" i="12"/>
  <c r="AW61" i="12"/>
  <c r="BE61" i="12"/>
  <c r="AU62" i="12"/>
  <c r="AX102" i="12"/>
  <c r="BF102" i="12"/>
  <c r="BF81" i="12"/>
  <c r="AX81" i="12"/>
  <c r="BE41" i="12"/>
  <c r="AW41" i="12"/>
  <c r="BE82" i="12"/>
  <c r="AW82" i="12"/>
  <c r="AU127" i="13"/>
  <c r="BE126" i="13"/>
  <c r="BC127" i="13"/>
  <c r="AQ128" i="13"/>
  <c r="AT41" i="12"/>
  <c r="BD41" i="12"/>
  <c r="BD126" i="12"/>
  <c r="AT126" i="12"/>
  <c r="BC127" i="12"/>
  <c r="AQ128" i="12"/>
  <c r="AS127" i="12"/>
  <c r="BD82" i="12"/>
  <c r="AT82" i="12"/>
  <c r="BD61" i="12"/>
  <c r="AT61" i="12"/>
  <c r="BE127" i="12"/>
  <c r="AU128" i="12"/>
  <c r="AW127" i="12"/>
  <c r="BF126" i="12"/>
  <c r="AX126" i="12"/>
  <c r="BD103" i="12"/>
  <c r="AT103" i="12"/>
  <c r="BC62" i="12"/>
  <c r="AS62" i="12"/>
  <c r="I26" i="13" l="1"/>
  <c r="AC18" i="13" s="1"/>
  <c r="AB18" i="13"/>
  <c r="AU42" i="13"/>
  <c r="AU43" i="13" s="1"/>
  <c r="C45" i="3"/>
  <c r="AB22" i="13"/>
  <c r="AB15" i="13"/>
  <c r="E25" i="13"/>
  <c r="I23" i="13"/>
  <c r="AC15" i="13" s="1"/>
  <c r="AU83" i="13"/>
  <c r="AU85" i="13" s="1"/>
  <c r="I24" i="13"/>
  <c r="AC16" i="13" s="1"/>
  <c r="AB16" i="13"/>
  <c r="E26" i="13"/>
  <c r="D21" i="3" s="1"/>
  <c r="C46" i="3"/>
  <c r="AJ42" i="13"/>
  <c r="AJ43" i="13" s="1"/>
  <c r="AM43" i="13"/>
  <c r="AM23" i="13"/>
  <c r="AO42" i="13"/>
  <c r="AP42" i="13" s="1"/>
  <c r="AH42" i="13"/>
  <c r="AH43" i="13" s="1"/>
  <c r="BA42" i="13"/>
  <c r="BB42" i="13" s="1"/>
  <c r="AY43" i="13"/>
  <c r="AY23" i="13"/>
  <c r="AK42" i="13"/>
  <c r="AK43" i="13" s="1"/>
  <c r="AM64" i="13"/>
  <c r="AM84" i="13"/>
  <c r="AM85" i="13"/>
  <c r="AH83" i="13"/>
  <c r="AH84" i="13" s="1"/>
  <c r="AY64" i="13"/>
  <c r="AY85" i="13"/>
  <c r="AY84" i="13"/>
  <c r="AK83" i="13"/>
  <c r="AK84" i="13" s="1"/>
  <c r="AX61" i="12"/>
  <c r="BF61" i="12"/>
  <c r="BF103" i="12"/>
  <c r="AX103" i="12"/>
  <c r="BF41" i="12"/>
  <c r="AX41" i="12"/>
  <c r="BF82" i="12"/>
  <c r="AX82" i="12"/>
  <c r="BE62" i="12"/>
  <c r="AW62" i="12"/>
  <c r="AQ129" i="13"/>
  <c r="BC128" i="13"/>
  <c r="AU128" i="13"/>
  <c r="BE127" i="13"/>
  <c r="BD127" i="12"/>
  <c r="AT127" i="12"/>
  <c r="AX127" i="12"/>
  <c r="BF127" i="12"/>
  <c r="BC128" i="12"/>
  <c r="AQ129" i="12"/>
  <c r="AS128" i="12"/>
  <c r="AU129" i="12"/>
  <c r="BE128" i="12"/>
  <c r="AW128" i="12"/>
  <c r="BD62" i="12"/>
  <c r="AT62" i="12"/>
  <c r="BE83" i="13" l="1"/>
  <c r="BE42" i="13"/>
  <c r="AW42" i="13"/>
  <c r="AX42" i="13" s="1"/>
  <c r="AJ83" i="13"/>
  <c r="AJ84" i="13" s="1"/>
  <c r="AJ86" i="13" s="1"/>
  <c r="AU64" i="13"/>
  <c r="AU65" i="13" s="1"/>
  <c r="AU84" i="13"/>
  <c r="BE84" i="13" s="1"/>
  <c r="AU23" i="13"/>
  <c r="AU24" i="13" s="1"/>
  <c r="AQ42" i="13"/>
  <c r="AI42" i="13" s="1"/>
  <c r="AI43" i="13" s="1"/>
  <c r="AI44" i="13" s="1"/>
  <c r="AQ83" i="13"/>
  <c r="AI83" i="13" s="1"/>
  <c r="AI84" i="13" s="1"/>
  <c r="BA23" i="13"/>
  <c r="BB23" i="13" s="1"/>
  <c r="AY24" i="13"/>
  <c r="AY65" i="13"/>
  <c r="AY44" i="13"/>
  <c r="AJ44" i="13"/>
  <c r="AJ45" i="13"/>
  <c r="AM44" i="13"/>
  <c r="AU86" i="13"/>
  <c r="BE85" i="13"/>
  <c r="AK85" i="13"/>
  <c r="AK86" i="13"/>
  <c r="AK44" i="13"/>
  <c r="AK45" i="13"/>
  <c r="AM86" i="13"/>
  <c r="AH85" i="13"/>
  <c r="AH86" i="13"/>
  <c r="AH45" i="13"/>
  <c r="AH44" i="13"/>
  <c r="AM24" i="13"/>
  <c r="AO23" i="13"/>
  <c r="AP23" i="13" s="1"/>
  <c r="AM65" i="13"/>
  <c r="AY86" i="13"/>
  <c r="AU44" i="13"/>
  <c r="BE43" i="13"/>
  <c r="BF62" i="12"/>
  <c r="AX62" i="12"/>
  <c r="BE128" i="13"/>
  <c r="AU129" i="13"/>
  <c r="BC129" i="13"/>
  <c r="AT128" i="12"/>
  <c r="BD128" i="12"/>
  <c r="BC129" i="12"/>
  <c r="AS129" i="12"/>
  <c r="BE129" i="12"/>
  <c r="AW129" i="12"/>
  <c r="BF128" i="12"/>
  <c r="AX128" i="12"/>
  <c r="H48" i="3"/>
  <c r="Q30" i="6"/>
  <c r="Q29" i="6"/>
  <c r="Q14" i="6"/>
  <c r="Q15" i="6"/>
  <c r="Q13" i="6"/>
  <c r="Q28" i="6"/>
  <c r="BE64" i="13" l="1"/>
  <c r="BF42" i="13"/>
  <c r="AJ85" i="13"/>
  <c r="BE23" i="13"/>
  <c r="AW23" i="13"/>
  <c r="AI86" i="13"/>
  <c r="AR139" i="13" s="1"/>
  <c r="AI85" i="13"/>
  <c r="AI45" i="13"/>
  <c r="AR65" i="13" s="1"/>
  <c r="AQ84" i="13"/>
  <c r="BC84" i="13" s="1"/>
  <c r="BC83" i="13"/>
  <c r="AQ64" i="13"/>
  <c r="AQ85" i="13"/>
  <c r="AQ23" i="13"/>
  <c r="AS42" i="13"/>
  <c r="AQ43" i="13"/>
  <c r="BC42" i="13"/>
  <c r="AV126" i="13"/>
  <c r="AW126" i="13" s="1"/>
  <c r="AV131" i="13"/>
  <c r="AV87" i="13"/>
  <c r="AV94" i="13"/>
  <c r="AV120" i="13"/>
  <c r="AW120" i="13" s="1"/>
  <c r="AV89" i="13"/>
  <c r="AV102" i="13"/>
  <c r="AV107" i="13"/>
  <c r="AW107" i="13" s="1"/>
  <c r="AV99" i="13"/>
  <c r="AV133" i="13"/>
  <c r="AV138" i="13"/>
  <c r="AV137" i="13"/>
  <c r="AV109" i="13"/>
  <c r="AW109" i="13" s="1"/>
  <c r="AV104" i="13"/>
  <c r="AW104" i="13" s="1"/>
  <c r="AV84" i="13"/>
  <c r="AW84" i="13" s="1"/>
  <c r="AV95" i="13"/>
  <c r="AV113" i="13"/>
  <c r="AW113" i="13" s="1"/>
  <c r="AV136" i="13"/>
  <c r="AV85" i="13"/>
  <c r="AW85" i="13" s="1"/>
  <c r="AV108" i="13"/>
  <c r="AW108" i="13" s="1"/>
  <c r="AV91" i="13"/>
  <c r="AV128" i="13"/>
  <c r="AW128" i="13" s="1"/>
  <c r="AX128" i="13" s="1"/>
  <c r="AV140" i="13"/>
  <c r="AV117" i="13"/>
  <c r="AW117" i="13" s="1"/>
  <c r="AV115" i="13"/>
  <c r="AW115" i="13" s="1"/>
  <c r="AV92" i="13"/>
  <c r="AV127" i="13"/>
  <c r="AW127" i="13" s="1"/>
  <c r="AV111" i="13"/>
  <c r="AW111" i="13" s="1"/>
  <c r="AV86" i="13"/>
  <c r="AW86" i="13" s="1"/>
  <c r="AV112" i="13"/>
  <c r="AW112" i="13" s="1"/>
  <c r="AV93" i="13"/>
  <c r="AV119" i="13"/>
  <c r="AW119" i="13" s="1"/>
  <c r="AV98" i="13"/>
  <c r="AV121" i="13"/>
  <c r="AW121" i="13" s="1"/>
  <c r="AV124" i="13"/>
  <c r="AW124" i="13" s="1"/>
  <c r="AV106" i="13"/>
  <c r="AW106" i="13" s="1"/>
  <c r="AV135" i="13"/>
  <c r="AV103" i="13"/>
  <c r="AV118" i="13"/>
  <c r="AW118" i="13" s="1"/>
  <c r="AV132" i="13"/>
  <c r="AV122" i="13"/>
  <c r="AW122" i="13" s="1"/>
  <c r="AV90" i="13"/>
  <c r="AV110" i="13"/>
  <c r="AW110" i="13" s="1"/>
  <c r="AV114" i="13"/>
  <c r="AW114" i="13" s="1"/>
  <c r="AV134" i="13"/>
  <c r="AV100" i="13"/>
  <c r="AV129" i="13"/>
  <c r="AW129" i="13" s="1"/>
  <c r="AV125" i="13"/>
  <c r="AW125" i="13" s="1"/>
  <c r="AV88" i="13"/>
  <c r="AV101" i="13"/>
  <c r="AV123" i="13"/>
  <c r="AW123" i="13" s="1"/>
  <c r="AV97" i="13"/>
  <c r="AV116" i="13"/>
  <c r="AW116" i="13" s="1"/>
  <c r="AV139" i="13"/>
  <c r="AV96" i="13"/>
  <c r="AV105" i="13"/>
  <c r="AW105" i="13" s="1"/>
  <c r="AV130" i="13"/>
  <c r="AW130" i="13" s="1"/>
  <c r="AY45" i="13"/>
  <c r="BE44" i="13"/>
  <c r="AU45" i="13"/>
  <c r="AX23" i="13"/>
  <c r="BF23" i="13"/>
  <c r="AV70" i="13"/>
  <c r="AV77" i="13"/>
  <c r="AV74" i="13"/>
  <c r="AV76" i="13"/>
  <c r="AV56" i="13"/>
  <c r="AV64" i="13"/>
  <c r="AW64" i="13" s="1"/>
  <c r="AV83" i="13"/>
  <c r="AW83" i="13" s="1"/>
  <c r="AV69" i="13"/>
  <c r="AV82" i="13"/>
  <c r="AV48" i="13"/>
  <c r="AV73" i="13"/>
  <c r="AV44" i="13"/>
  <c r="AW44" i="13" s="1"/>
  <c r="AV63" i="13"/>
  <c r="AW63" i="13" s="1"/>
  <c r="AV55" i="13"/>
  <c r="AV50" i="13"/>
  <c r="AV47" i="13"/>
  <c r="AV60" i="13"/>
  <c r="AV81" i="13"/>
  <c r="AV43" i="13"/>
  <c r="AW43" i="13" s="1"/>
  <c r="AV65" i="13"/>
  <c r="AW65" i="13" s="1"/>
  <c r="AV67" i="13"/>
  <c r="AV79" i="13"/>
  <c r="AV54" i="13"/>
  <c r="AV78" i="13"/>
  <c r="AV45" i="13"/>
  <c r="AV80" i="13"/>
  <c r="AV75" i="13"/>
  <c r="AV61" i="13"/>
  <c r="AV66" i="13"/>
  <c r="AV49" i="13"/>
  <c r="AV62" i="13"/>
  <c r="AV51" i="13"/>
  <c r="AV57" i="13"/>
  <c r="AV59" i="13"/>
  <c r="AV72" i="13"/>
  <c r="AV46" i="13"/>
  <c r="AV53" i="13"/>
  <c r="AV58" i="13"/>
  <c r="AV68" i="13"/>
  <c r="AV71" i="13"/>
  <c r="AV52" i="13"/>
  <c r="AZ129" i="13"/>
  <c r="BA129" i="13" s="1"/>
  <c r="BB129" i="13" s="1"/>
  <c r="AZ113" i="13"/>
  <c r="BA113" i="13" s="1"/>
  <c r="BB113" i="13" s="1"/>
  <c r="AZ134" i="13"/>
  <c r="AZ116" i="13"/>
  <c r="BA116" i="13" s="1"/>
  <c r="BB116" i="13" s="1"/>
  <c r="AZ91" i="13"/>
  <c r="AZ108" i="13"/>
  <c r="BA108" i="13" s="1"/>
  <c r="BB108" i="13" s="1"/>
  <c r="AZ103" i="13"/>
  <c r="AZ125" i="13"/>
  <c r="BA125" i="13" s="1"/>
  <c r="BB125" i="13" s="1"/>
  <c r="AZ109" i="13"/>
  <c r="BA109" i="13" s="1"/>
  <c r="BB109" i="13" s="1"/>
  <c r="AZ126" i="13"/>
  <c r="BA126" i="13" s="1"/>
  <c r="BB126" i="13" s="1"/>
  <c r="AZ105" i="13"/>
  <c r="BA105" i="13" s="1"/>
  <c r="BB105" i="13" s="1"/>
  <c r="AZ89" i="13"/>
  <c r="AZ98" i="13"/>
  <c r="AZ99" i="13"/>
  <c r="AZ139" i="13"/>
  <c r="AZ123" i="13"/>
  <c r="BA123" i="13" s="1"/>
  <c r="BB123" i="13" s="1"/>
  <c r="AZ107" i="13"/>
  <c r="BA107" i="13" s="1"/>
  <c r="BB107" i="13" s="1"/>
  <c r="AZ112" i="13"/>
  <c r="BA112" i="13" s="1"/>
  <c r="BB112" i="13" s="1"/>
  <c r="AZ102" i="13"/>
  <c r="AZ88" i="13"/>
  <c r="AZ110" i="13"/>
  <c r="BA110" i="13" s="1"/>
  <c r="BB110" i="13" s="1"/>
  <c r="AZ104" i="13"/>
  <c r="BA104" i="13" s="1"/>
  <c r="BB104" i="13" s="1"/>
  <c r="AZ133" i="13"/>
  <c r="AZ117" i="13"/>
  <c r="BA117" i="13" s="1"/>
  <c r="BB117" i="13" s="1"/>
  <c r="AZ136" i="13"/>
  <c r="AZ122" i="13"/>
  <c r="BA122" i="13" s="1"/>
  <c r="BB122" i="13" s="1"/>
  <c r="AZ93" i="13"/>
  <c r="AZ84" i="13"/>
  <c r="BA84" i="13" s="1"/>
  <c r="BB84" i="13" s="1"/>
  <c r="AZ101" i="13"/>
  <c r="AZ115" i="13"/>
  <c r="BA115" i="13" s="1"/>
  <c r="BB115" i="13" s="1"/>
  <c r="AZ120" i="13"/>
  <c r="BA120" i="13" s="1"/>
  <c r="BB120" i="13" s="1"/>
  <c r="AZ132" i="13"/>
  <c r="AZ124" i="13"/>
  <c r="BA124" i="13" s="1"/>
  <c r="BB124" i="13" s="1"/>
  <c r="AZ111" i="13"/>
  <c r="BA111" i="13" s="1"/>
  <c r="BB111" i="13" s="1"/>
  <c r="AZ114" i="13"/>
  <c r="BA114" i="13" s="1"/>
  <c r="BB114" i="13" s="1"/>
  <c r="AZ100" i="13"/>
  <c r="AZ137" i="13"/>
  <c r="AZ140" i="13"/>
  <c r="AZ95" i="13"/>
  <c r="AZ85" i="13"/>
  <c r="BA85" i="13" s="1"/>
  <c r="BB85" i="13" s="1"/>
  <c r="AZ131" i="13"/>
  <c r="AZ128" i="13"/>
  <c r="BA128" i="13" s="1"/>
  <c r="BB128" i="13" s="1"/>
  <c r="AZ92" i="13"/>
  <c r="AZ127" i="13"/>
  <c r="BA127" i="13" s="1"/>
  <c r="BB127" i="13" s="1"/>
  <c r="AZ90" i="13"/>
  <c r="AZ121" i="13"/>
  <c r="BA121" i="13" s="1"/>
  <c r="BB121" i="13" s="1"/>
  <c r="AZ87" i="13"/>
  <c r="AZ135" i="13"/>
  <c r="AZ138" i="13"/>
  <c r="AZ94" i="13"/>
  <c r="AZ118" i="13"/>
  <c r="BA118" i="13" s="1"/>
  <c r="BB118" i="13" s="1"/>
  <c r="AZ96" i="13"/>
  <c r="AZ130" i="13"/>
  <c r="BA130" i="13" s="1"/>
  <c r="BB130" i="13" s="1"/>
  <c r="AZ97" i="13"/>
  <c r="AZ86" i="13"/>
  <c r="BA86" i="13" s="1"/>
  <c r="BB86" i="13" s="1"/>
  <c r="AZ119" i="13"/>
  <c r="BA119" i="13" s="1"/>
  <c r="BB119" i="13" s="1"/>
  <c r="AZ106" i="13"/>
  <c r="BA106" i="13" s="1"/>
  <c r="BB106" i="13" s="1"/>
  <c r="AM25" i="13"/>
  <c r="AO24" i="13"/>
  <c r="AP24" i="13" s="1"/>
  <c r="AN83" i="13"/>
  <c r="AO83" i="13" s="1"/>
  <c r="AP83" i="13" s="1"/>
  <c r="AN65" i="13"/>
  <c r="AO65" i="13" s="1"/>
  <c r="AP65" i="13" s="1"/>
  <c r="AN63" i="13"/>
  <c r="AO63" i="13" s="1"/>
  <c r="AP63" i="13" s="1"/>
  <c r="AN56" i="13"/>
  <c r="AN50" i="13"/>
  <c r="AN62" i="13"/>
  <c r="AN81" i="13"/>
  <c r="AN78" i="13"/>
  <c r="AN66" i="13"/>
  <c r="AN45" i="13"/>
  <c r="AN70" i="13"/>
  <c r="AN80" i="13"/>
  <c r="AN76" i="13"/>
  <c r="AN61" i="13"/>
  <c r="AN43" i="13"/>
  <c r="AO43" i="13" s="1"/>
  <c r="AP43" i="13" s="1"/>
  <c r="AN47" i="13"/>
  <c r="AN59" i="13"/>
  <c r="AN79" i="13"/>
  <c r="AN53" i="13"/>
  <c r="AN58" i="13"/>
  <c r="AN52" i="13"/>
  <c r="AN67" i="13"/>
  <c r="AN46" i="13"/>
  <c r="AN49" i="13"/>
  <c r="AN77" i="13"/>
  <c r="AN72" i="13"/>
  <c r="AN73" i="13"/>
  <c r="AN44" i="13"/>
  <c r="AO44" i="13" s="1"/>
  <c r="AP44" i="13" s="1"/>
  <c r="AN69" i="13"/>
  <c r="AN82" i="13"/>
  <c r="AN57" i="13"/>
  <c r="AN48" i="13"/>
  <c r="AN60" i="13"/>
  <c r="AN54" i="13"/>
  <c r="AN74" i="13"/>
  <c r="AN68" i="13"/>
  <c r="AN51" i="13"/>
  <c r="AN71" i="13"/>
  <c r="AN55" i="13"/>
  <c r="AN75" i="13"/>
  <c r="AN64" i="13"/>
  <c r="AO64" i="13" s="1"/>
  <c r="AP64" i="13" s="1"/>
  <c r="AY87" i="13"/>
  <c r="AN138" i="13"/>
  <c r="AN122" i="13"/>
  <c r="AO122" i="13" s="1"/>
  <c r="AP122" i="13" s="1"/>
  <c r="AN139" i="13"/>
  <c r="AN101" i="13"/>
  <c r="AN129" i="13"/>
  <c r="AO129" i="13" s="1"/>
  <c r="AP129" i="13" s="1"/>
  <c r="AN111" i="13"/>
  <c r="AO111" i="13" s="1"/>
  <c r="AP111" i="13" s="1"/>
  <c r="AN90" i="13"/>
  <c r="AN134" i="13"/>
  <c r="AN118" i="13"/>
  <c r="AO118" i="13" s="1"/>
  <c r="AP118" i="13" s="1"/>
  <c r="AN135" i="13"/>
  <c r="AN99" i="13"/>
  <c r="AN127" i="13"/>
  <c r="AO127" i="13" s="1"/>
  <c r="AP127" i="13" s="1"/>
  <c r="AN96" i="13"/>
  <c r="AN88" i="13"/>
  <c r="AN132" i="13"/>
  <c r="AN116" i="13"/>
  <c r="AO116" i="13" s="1"/>
  <c r="AP116" i="13" s="1"/>
  <c r="AN119" i="13"/>
  <c r="AO119" i="13" s="1"/>
  <c r="AP119" i="13" s="1"/>
  <c r="AN98" i="13"/>
  <c r="AN123" i="13"/>
  <c r="AO123" i="13" s="1"/>
  <c r="AP123" i="13" s="1"/>
  <c r="AN95" i="13"/>
  <c r="AN87" i="13"/>
  <c r="AN126" i="13"/>
  <c r="AO126" i="13" s="1"/>
  <c r="AP126" i="13" s="1"/>
  <c r="AN110" i="13"/>
  <c r="AO110" i="13" s="1"/>
  <c r="AP110" i="13" s="1"/>
  <c r="AN103" i="13"/>
  <c r="AN113" i="13"/>
  <c r="AO113" i="13" s="1"/>
  <c r="AP113" i="13" s="1"/>
  <c r="AN97" i="13"/>
  <c r="AN92" i="13"/>
  <c r="AN125" i="13"/>
  <c r="AO125" i="13" s="1"/>
  <c r="AP125" i="13" s="1"/>
  <c r="AN112" i="13"/>
  <c r="AO112" i="13" s="1"/>
  <c r="AP112" i="13" s="1"/>
  <c r="AN117" i="13"/>
  <c r="AO117" i="13" s="1"/>
  <c r="AP117" i="13" s="1"/>
  <c r="AN93" i="13"/>
  <c r="AN140" i="13"/>
  <c r="AN108" i="13"/>
  <c r="AO108" i="13" s="1"/>
  <c r="AP108" i="13" s="1"/>
  <c r="AN105" i="13"/>
  <c r="AO105" i="13" s="1"/>
  <c r="AP105" i="13" s="1"/>
  <c r="AN91" i="13"/>
  <c r="AN120" i="13"/>
  <c r="AO120" i="13" s="1"/>
  <c r="AP120" i="13" s="1"/>
  <c r="AN136" i="13"/>
  <c r="AN137" i="13"/>
  <c r="AN107" i="13"/>
  <c r="AO107" i="13" s="1"/>
  <c r="AP107" i="13" s="1"/>
  <c r="AN89" i="13"/>
  <c r="AN104" i="13"/>
  <c r="AO104" i="13" s="1"/>
  <c r="AP104" i="13" s="1"/>
  <c r="AN115" i="13"/>
  <c r="AO115" i="13" s="1"/>
  <c r="AP115" i="13" s="1"/>
  <c r="AN102" i="13"/>
  <c r="AN121" i="13"/>
  <c r="AO121" i="13" s="1"/>
  <c r="AP121" i="13" s="1"/>
  <c r="AN100" i="13"/>
  <c r="AN131" i="13"/>
  <c r="AN130" i="13"/>
  <c r="AO130" i="13" s="1"/>
  <c r="AP130" i="13" s="1"/>
  <c r="AN109" i="13"/>
  <c r="AO109" i="13" s="1"/>
  <c r="AP109" i="13" s="1"/>
  <c r="AN106" i="13"/>
  <c r="AO106" i="13" s="1"/>
  <c r="AP106" i="13" s="1"/>
  <c r="AN86" i="13"/>
  <c r="AO86" i="13" s="1"/>
  <c r="AP86" i="13" s="1"/>
  <c r="AN128" i="13"/>
  <c r="AO128" i="13" s="1"/>
  <c r="AP128" i="13" s="1"/>
  <c r="AN84" i="13"/>
  <c r="AO84" i="13" s="1"/>
  <c r="AP84" i="13" s="1"/>
  <c r="AN124" i="13"/>
  <c r="AO124" i="13" s="1"/>
  <c r="AP124" i="13" s="1"/>
  <c r="AN85" i="13"/>
  <c r="AO85" i="13" s="1"/>
  <c r="AP85" i="13" s="1"/>
  <c r="AN94" i="13"/>
  <c r="AN133" i="13"/>
  <c r="AN114" i="13"/>
  <c r="AO114" i="13" s="1"/>
  <c r="AP114" i="13" s="1"/>
  <c r="AU25" i="13"/>
  <c r="BE24" i="13"/>
  <c r="AW24" i="13"/>
  <c r="AY66" i="13"/>
  <c r="AM66" i="13"/>
  <c r="BE65" i="13"/>
  <c r="AU66" i="13"/>
  <c r="AZ76" i="13"/>
  <c r="AZ68" i="13"/>
  <c r="AZ60" i="13"/>
  <c r="AZ43" i="13"/>
  <c r="BA43" i="13" s="1"/>
  <c r="BB43" i="13" s="1"/>
  <c r="AZ50" i="13"/>
  <c r="AZ82" i="13"/>
  <c r="AZ74" i="13"/>
  <c r="AZ66" i="13"/>
  <c r="AZ58" i="13"/>
  <c r="AZ47" i="13"/>
  <c r="AZ45" i="13"/>
  <c r="AZ81" i="13"/>
  <c r="AZ73" i="13"/>
  <c r="AZ65" i="13"/>
  <c r="BA65" i="13" s="1"/>
  <c r="BB65" i="13" s="1"/>
  <c r="AZ57" i="13"/>
  <c r="AZ49" i="13"/>
  <c r="AZ80" i="13"/>
  <c r="AZ78" i="13"/>
  <c r="AZ70" i="13"/>
  <c r="AZ62" i="13"/>
  <c r="AZ48" i="13"/>
  <c r="AZ46" i="13"/>
  <c r="AZ77" i="13"/>
  <c r="AZ69" i="13"/>
  <c r="AZ61" i="13"/>
  <c r="AZ63" i="13"/>
  <c r="BA63" i="13" s="1"/>
  <c r="BB63" i="13" s="1"/>
  <c r="AZ51" i="13"/>
  <c r="AZ59" i="13"/>
  <c r="AZ53" i="13"/>
  <c r="AZ79" i="13"/>
  <c r="AZ83" i="13"/>
  <c r="BA83" i="13" s="1"/>
  <c r="BB83" i="13" s="1"/>
  <c r="AZ72" i="13"/>
  <c r="AZ71" i="13"/>
  <c r="AZ52" i="13"/>
  <c r="AZ75" i="13"/>
  <c r="AZ56" i="13"/>
  <c r="AZ44" i="13"/>
  <c r="BA44" i="13" s="1"/>
  <c r="BB44" i="13" s="1"/>
  <c r="AZ54" i="13"/>
  <c r="AZ67" i="13"/>
  <c r="AZ64" i="13"/>
  <c r="BA64" i="13" s="1"/>
  <c r="BB64" i="13" s="1"/>
  <c r="AZ55" i="13"/>
  <c r="AY25" i="13"/>
  <c r="BA24" i="13"/>
  <c r="BB24" i="13" s="1"/>
  <c r="AM87" i="13"/>
  <c r="AU87" i="13"/>
  <c r="BE86" i="13"/>
  <c r="AM45" i="13"/>
  <c r="BE129" i="13"/>
  <c r="AX129" i="12"/>
  <c r="BF129" i="12"/>
  <c r="BD129" i="12"/>
  <c r="AT129" i="12"/>
  <c r="AR114" i="13" l="1"/>
  <c r="AS114" i="13" s="1"/>
  <c r="BD114" i="13" s="1"/>
  <c r="AR96" i="13"/>
  <c r="AR131" i="13"/>
  <c r="AR109" i="13"/>
  <c r="AS109" i="13" s="1"/>
  <c r="BD109" i="13" s="1"/>
  <c r="AR123" i="13"/>
  <c r="AS123" i="13" s="1"/>
  <c r="AT123" i="13" s="1"/>
  <c r="AR107" i="13"/>
  <c r="AS107" i="13" s="1"/>
  <c r="BD107" i="13" s="1"/>
  <c r="AR118" i="13"/>
  <c r="AS118" i="13" s="1"/>
  <c r="BD118" i="13" s="1"/>
  <c r="AR110" i="13"/>
  <c r="AS110" i="13" s="1"/>
  <c r="BD110" i="13" s="1"/>
  <c r="AR136" i="13"/>
  <c r="AR94" i="13"/>
  <c r="AR115" i="13"/>
  <c r="AS115" i="13" s="1"/>
  <c r="BD115" i="13" s="1"/>
  <c r="AR87" i="13"/>
  <c r="AR99" i="13"/>
  <c r="AR134" i="13"/>
  <c r="AR85" i="13"/>
  <c r="AS85" i="13" s="1"/>
  <c r="BD85" i="13" s="1"/>
  <c r="AR140" i="13"/>
  <c r="AR50" i="13"/>
  <c r="AR104" i="13"/>
  <c r="AS104" i="13" s="1"/>
  <c r="BD104" i="13" s="1"/>
  <c r="AR125" i="13"/>
  <c r="AS125" i="13" s="1"/>
  <c r="BD125" i="13" s="1"/>
  <c r="AR122" i="13"/>
  <c r="AS122" i="13" s="1"/>
  <c r="BD122" i="13" s="1"/>
  <c r="AR97" i="13"/>
  <c r="AR127" i="13"/>
  <c r="AS127" i="13" s="1"/>
  <c r="AT127" i="13" s="1"/>
  <c r="AR138" i="13"/>
  <c r="AR66" i="13"/>
  <c r="AR68" i="13"/>
  <c r="AR83" i="13"/>
  <c r="AS83" i="13" s="1"/>
  <c r="BD83" i="13" s="1"/>
  <c r="AR98" i="13"/>
  <c r="AR117" i="13"/>
  <c r="AS117" i="13" s="1"/>
  <c r="AT117" i="13" s="1"/>
  <c r="AR111" i="13"/>
  <c r="AS111" i="13" s="1"/>
  <c r="BD111" i="13" s="1"/>
  <c r="AR133" i="13"/>
  <c r="AR102" i="13"/>
  <c r="AR128" i="13"/>
  <c r="AS128" i="13" s="1"/>
  <c r="BD128" i="13" s="1"/>
  <c r="AR47" i="13"/>
  <c r="AR64" i="13"/>
  <c r="AS64" i="13" s="1"/>
  <c r="AT64" i="13" s="1"/>
  <c r="AR72" i="13"/>
  <c r="AR74" i="13"/>
  <c r="AR73" i="13"/>
  <c r="AR81" i="13"/>
  <c r="AR60" i="13"/>
  <c r="AR53" i="13"/>
  <c r="AR44" i="13"/>
  <c r="AR76" i="13"/>
  <c r="AR70" i="13"/>
  <c r="AR48" i="13"/>
  <c r="AR45" i="13"/>
  <c r="AR62" i="13"/>
  <c r="AR46" i="13"/>
  <c r="AR55" i="13"/>
  <c r="AR56" i="13"/>
  <c r="AR82" i="13"/>
  <c r="AR49" i="13"/>
  <c r="AR80" i="13"/>
  <c r="AR59" i="13"/>
  <c r="AR63" i="13"/>
  <c r="AS63" i="13" s="1"/>
  <c r="BD63" i="13" s="1"/>
  <c r="AR58" i="13"/>
  <c r="AR61" i="13"/>
  <c r="AR43" i="13"/>
  <c r="AS43" i="13" s="1"/>
  <c r="BD43" i="13" s="1"/>
  <c r="AR67" i="13"/>
  <c r="AR51" i="13"/>
  <c r="AR79" i="13"/>
  <c r="AR78" i="13"/>
  <c r="AR69" i="13"/>
  <c r="AR57" i="13"/>
  <c r="AR75" i="13"/>
  <c r="AR71" i="13"/>
  <c r="AR54" i="13"/>
  <c r="AR52" i="13"/>
  <c r="AR77" i="13"/>
  <c r="AR137" i="13"/>
  <c r="AR121" i="13"/>
  <c r="AS121" i="13" s="1"/>
  <c r="BD121" i="13" s="1"/>
  <c r="AR135" i="13"/>
  <c r="AR84" i="13"/>
  <c r="AS84" i="13" s="1"/>
  <c r="BD84" i="13" s="1"/>
  <c r="AR108" i="13"/>
  <c r="AS108" i="13" s="1"/>
  <c r="AT108" i="13" s="1"/>
  <c r="AR129" i="13"/>
  <c r="AS129" i="13" s="1"/>
  <c r="AT129" i="13" s="1"/>
  <c r="AR130" i="13"/>
  <c r="AS130" i="13" s="1"/>
  <c r="BD130" i="13" s="1"/>
  <c r="AR126" i="13"/>
  <c r="AS126" i="13" s="1"/>
  <c r="BD126" i="13" s="1"/>
  <c r="AR91" i="13"/>
  <c r="AR90" i="13"/>
  <c r="AR95" i="13"/>
  <c r="AR100" i="13"/>
  <c r="AR120" i="13"/>
  <c r="AS120" i="13" s="1"/>
  <c r="BD120" i="13" s="1"/>
  <c r="AR119" i="13"/>
  <c r="AS119" i="13" s="1"/>
  <c r="AT119" i="13" s="1"/>
  <c r="AR88" i="13"/>
  <c r="AR105" i="13"/>
  <c r="AS105" i="13" s="1"/>
  <c r="BD105" i="13" s="1"/>
  <c r="AR86" i="13"/>
  <c r="AR89" i="13"/>
  <c r="AR101" i="13"/>
  <c r="AR112" i="13"/>
  <c r="AS112" i="13" s="1"/>
  <c r="BD112" i="13" s="1"/>
  <c r="AR124" i="13"/>
  <c r="AS124" i="13" s="1"/>
  <c r="AT124" i="13" s="1"/>
  <c r="AR116" i="13"/>
  <c r="AS116" i="13" s="1"/>
  <c r="BD116" i="13" s="1"/>
  <c r="AR92" i="13"/>
  <c r="AR113" i="13"/>
  <c r="AS113" i="13" s="1"/>
  <c r="BD113" i="13" s="1"/>
  <c r="AR93" i="13"/>
  <c r="AR103" i="13"/>
  <c r="AR132" i="13"/>
  <c r="AR106" i="13"/>
  <c r="AS106" i="13" s="1"/>
  <c r="BD106" i="13" s="1"/>
  <c r="BF128" i="13"/>
  <c r="AT42" i="13"/>
  <c r="BD42" i="13"/>
  <c r="AQ44" i="13"/>
  <c r="BC43" i="13"/>
  <c r="AS23" i="13"/>
  <c r="BC23" i="13"/>
  <c r="AQ24" i="13"/>
  <c r="BC64" i="13"/>
  <c r="AQ65" i="13"/>
  <c r="AS65" i="13" s="1"/>
  <c r="BC85" i="13"/>
  <c r="AQ86" i="13"/>
  <c r="AX86" i="13"/>
  <c r="BF86" i="13"/>
  <c r="AX106" i="13"/>
  <c r="BF106" i="13"/>
  <c r="AX83" i="13"/>
  <c r="BF83" i="13"/>
  <c r="AX110" i="13"/>
  <c r="BF110" i="13"/>
  <c r="AX124" i="13"/>
  <c r="BF124" i="13"/>
  <c r="AX85" i="13"/>
  <c r="BF85" i="13"/>
  <c r="AX65" i="13"/>
  <c r="BF65" i="13"/>
  <c r="AY88" i="13"/>
  <c r="BA87" i="13"/>
  <c r="BB87" i="13" s="1"/>
  <c r="AX64" i="13"/>
  <c r="BF64" i="13"/>
  <c r="BA45" i="13"/>
  <c r="BB45" i="13" s="1"/>
  <c r="AY46" i="13"/>
  <c r="AX121" i="13"/>
  <c r="BF121" i="13"/>
  <c r="AX116" i="13"/>
  <c r="BF116" i="13"/>
  <c r="AX114" i="13"/>
  <c r="BF114" i="13"/>
  <c r="AX111" i="13"/>
  <c r="BF111" i="13"/>
  <c r="BF123" i="13"/>
  <c r="AX123" i="13"/>
  <c r="BF127" i="13"/>
  <c r="AX127" i="13"/>
  <c r="BE66" i="13"/>
  <c r="AW66" i="13"/>
  <c r="AU67" i="13"/>
  <c r="AX63" i="13"/>
  <c r="BF63" i="13"/>
  <c r="AX130" i="13"/>
  <c r="BF130" i="13"/>
  <c r="BF122" i="13"/>
  <c r="AX122" i="13"/>
  <c r="AX115" i="13"/>
  <c r="BF115" i="13"/>
  <c r="AX113" i="13"/>
  <c r="BF113" i="13"/>
  <c r="AX126" i="13"/>
  <c r="BF126" i="13"/>
  <c r="AX109" i="13"/>
  <c r="BF109" i="13"/>
  <c r="AX108" i="13"/>
  <c r="BF108" i="13"/>
  <c r="AM46" i="13"/>
  <c r="AO45" i="13"/>
  <c r="AP45" i="13" s="1"/>
  <c r="AM88" i="13"/>
  <c r="AO87" i="13"/>
  <c r="AP87" i="13" s="1"/>
  <c r="AX105" i="13"/>
  <c r="BF105" i="13"/>
  <c r="BF125" i="13"/>
  <c r="AX125" i="13"/>
  <c r="AX119" i="13"/>
  <c r="BF119" i="13"/>
  <c r="AX117" i="13"/>
  <c r="BF117" i="13"/>
  <c r="AX107" i="13"/>
  <c r="BF107" i="13"/>
  <c r="BE87" i="13"/>
  <c r="AU88" i="13"/>
  <c r="AW87" i="13"/>
  <c r="BE25" i="13"/>
  <c r="AW25" i="13"/>
  <c r="AU26" i="13"/>
  <c r="AU46" i="13"/>
  <c r="BE45" i="13"/>
  <c r="AW45" i="13"/>
  <c r="BA66" i="13"/>
  <c r="BB66" i="13" s="1"/>
  <c r="AY67" i="13"/>
  <c r="AX24" i="13"/>
  <c r="BF24" i="13"/>
  <c r="AM26" i="13"/>
  <c r="AO25" i="13"/>
  <c r="AP25" i="13" s="1"/>
  <c r="AX43" i="13"/>
  <c r="BF43" i="13"/>
  <c r="AT109" i="13"/>
  <c r="AX118" i="13"/>
  <c r="BF118" i="13"/>
  <c r="AX84" i="13"/>
  <c r="BF84" i="13"/>
  <c r="AX120" i="13"/>
  <c r="BF120" i="13"/>
  <c r="AY26" i="13"/>
  <c r="BA25" i="13"/>
  <c r="BB25" i="13" s="1"/>
  <c r="AM67" i="13"/>
  <c r="AO66" i="13"/>
  <c r="AP66" i="13" s="1"/>
  <c r="AX44" i="13"/>
  <c r="BF44" i="13"/>
  <c r="AX112" i="13"/>
  <c r="BF112" i="13"/>
  <c r="AX104" i="13"/>
  <c r="BF104" i="13"/>
  <c r="BF129" i="13"/>
  <c r="AX129" i="13"/>
  <c r="AT114" i="13" l="1"/>
  <c r="AT107" i="13"/>
  <c r="BD123" i="13"/>
  <c r="BD127" i="13"/>
  <c r="AT111" i="13"/>
  <c r="AT110" i="13"/>
  <c r="AT118" i="13"/>
  <c r="AT104" i="13"/>
  <c r="AT122" i="13"/>
  <c r="AT83" i="13"/>
  <c r="AT115" i="13"/>
  <c r="BD117" i="13"/>
  <c r="AT125" i="13"/>
  <c r="AT128" i="13"/>
  <c r="BD64" i="13"/>
  <c r="AT84" i="13"/>
  <c r="AT63" i="13"/>
  <c r="AS44" i="13"/>
  <c r="BD44" i="13" s="1"/>
  <c r="BD119" i="13"/>
  <c r="AT85" i="13"/>
  <c r="AT116" i="13"/>
  <c r="AT120" i="13"/>
  <c r="BD108" i="13"/>
  <c r="AT113" i="13"/>
  <c r="AT106" i="13"/>
  <c r="AT112" i="13"/>
  <c r="AT130" i="13"/>
  <c r="BD124" i="13"/>
  <c r="AT105" i="13"/>
  <c r="BD129" i="13"/>
  <c r="AT126" i="13"/>
  <c r="AT121" i="13"/>
  <c r="AS86" i="13"/>
  <c r="BD86" i="13" s="1"/>
  <c r="AT65" i="13"/>
  <c r="BD65" i="13"/>
  <c r="AT43" i="13"/>
  <c r="AQ66" i="13"/>
  <c r="BC65" i="13"/>
  <c r="BC44" i="13"/>
  <c r="AQ45" i="13"/>
  <c r="BC86" i="13"/>
  <c r="AQ87" i="13"/>
  <c r="AQ25" i="13"/>
  <c r="AS24" i="13"/>
  <c r="BC24" i="13"/>
  <c r="BD23" i="13"/>
  <c r="AT23" i="13"/>
  <c r="BA46" i="13"/>
  <c r="BB46" i="13" s="1"/>
  <c r="AY47" i="13"/>
  <c r="AM89" i="13"/>
  <c r="AO88" i="13"/>
  <c r="AP88" i="13" s="1"/>
  <c r="AY89" i="13"/>
  <c r="BA88" i="13"/>
  <c r="BB88" i="13" s="1"/>
  <c r="AW88" i="13"/>
  <c r="AU89" i="13"/>
  <c r="BE88" i="13"/>
  <c r="AU47" i="13"/>
  <c r="BE46" i="13"/>
  <c r="AW46" i="13"/>
  <c r="BA26" i="13"/>
  <c r="BB26" i="13" s="1"/>
  <c r="AY27" i="13"/>
  <c r="BE26" i="13"/>
  <c r="AU27" i="13"/>
  <c r="AW26" i="13"/>
  <c r="AY68" i="13"/>
  <c r="BA67" i="13"/>
  <c r="BB67" i="13" s="1"/>
  <c r="AX25" i="13"/>
  <c r="BF25" i="13"/>
  <c r="AM47" i="13"/>
  <c r="AO46" i="13"/>
  <c r="AP46" i="13" s="1"/>
  <c r="AU68" i="13"/>
  <c r="BE67" i="13"/>
  <c r="AW67" i="13"/>
  <c r="AM68" i="13"/>
  <c r="AO67" i="13"/>
  <c r="AP67" i="13" s="1"/>
  <c r="AM27" i="13"/>
  <c r="AO26" i="13"/>
  <c r="AP26" i="13" s="1"/>
  <c r="AX66" i="13"/>
  <c r="BF66" i="13"/>
  <c r="AX45" i="13"/>
  <c r="BF45" i="13"/>
  <c r="AX87" i="13"/>
  <c r="BF87" i="13"/>
  <c r="AT44" i="13" l="1"/>
  <c r="AT86" i="13"/>
  <c r="BC87" i="13"/>
  <c r="AQ88" i="13"/>
  <c r="AS87" i="13"/>
  <c r="AS45" i="13"/>
  <c r="BC45" i="13"/>
  <c r="AQ46" i="13"/>
  <c r="BD24" i="13"/>
  <c r="AT24" i="13"/>
  <c r="AS66" i="13"/>
  <c r="AQ67" i="13"/>
  <c r="BC66" i="13"/>
  <c r="AQ26" i="13"/>
  <c r="AS25" i="13"/>
  <c r="BC25" i="13"/>
  <c r="AM28" i="13"/>
  <c r="AO27" i="13"/>
  <c r="AP27" i="13" s="1"/>
  <c r="AM48" i="13"/>
  <c r="AO47" i="13"/>
  <c r="AP47" i="13" s="1"/>
  <c r="BA27" i="13"/>
  <c r="BB27" i="13" s="1"/>
  <c r="AY28" i="13"/>
  <c r="AM90" i="13"/>
  <c r="AO89" i="13"/>
  <c r="AP89" i="13" s="1"/>
  <c r="AM69" i="13"/>
  <c r="AO68" i="13"/>
  <c r="AP68" i="13" s="1"/>
  <c r="AU48" i="13"/>
  <c r="AW47" i="13"/>
  <c r="BE47" i="13"/>
  <c r="AY48" i="13"/>
  <c r="BA47" i="13"/>
  <c r="BB47" i="13" s="1"/>
  <c r="BE27" i="13"/>
  <c r="AU28" i="13"/>
  <c r="AW27" i="13"/>
  <c r="AX46" i="13"/>
  <c r="BF46" i="13"/>
  <c r="AW89" i="13"/>
  <c r="BE89" i="13"/>
  <c r="AU90" i="13"/>
  <c r="AY90" i="13"/>
  <c r="BA89" i="13"/>
  <c r="BB89" i="13" s="1"/>
  <c r="AX67" i="13"/>
  <c r="BF67" i="13"/>
  <c r="AY69" i="13"/>
  <c r="BA68" i="13"/>
  <c r="BB68" i="13" s="1"/>
  <c r="AX88" i="13"/>
  <c r="BF88" i="13"/>
  <c r="AU69" i="13"/>
  <c r="AW68" i="13"/>
  <c r="BE68" i="13"/>
  <c r="AX26" i="13"/>
  <c r="BF26" i="13"/>
  <c r="AS26" i="13" l="1"/>
  <c r="AQ27" i="13"/>
  <c r="BC26" i="13"/>
  <c r="BC46" i="13"/>
  <c r="AS46" i="13"/>
  <c r="AQ47" i="13"/>
  <c r="AT45" i="13"/>
  <c r="BD45" i="13"/>
  <c r="AT25" i="13"/>
  <c r="BD25" i="13"/>
  <c r="BD87" i="13"/>
  <c r="AT87" i="13"/>
  <c r="AS67" i="13"/>
  <c r="AQ68" i="13"/>
  <c r="BC67" i="13"/>
  <c r="BC88" i="13"/>
  <c r="AS88" i="13"/>
  <c r="AQ89" i="13"/>
  <c r="AT66" i="13"/>
  <c r="BD66" i="13"/>
  <c r="AX47" i="13"/>
  <c r="BF47" i="13"/>
  <c r="AW69" i="13"/>
  <c r="BE69" i="13"/>
  <c r="AU70" i="13"/>
  <c r="AU49" i="13"/>
  <c r="BE48" i="13"/>
  <c r="AW48" i="13"/>
  <c r="AM49" i="13"/>
  <c r="AO48" i="13"/>
  <c r="AP48" i="13" s="1"/>
  <c r="BA69" i="13"/>
  <c r="BB69" i="13" s="1"/>
  <c r="AY70" i="13"/>
  <c r="AX68" i="13"/>
  <c r="BF68" i="13"/>
  <c r="AX27" i="13"/>
  <c r="BF27" i="13"/>
  <c r="AM29" i="13"/>
  <c r="AO28" i="13"/>
  <c r="AP28" i="13" s="1"/>
  <c r="AY91" i="13"/>
  <c r="BA90" i="13"/>
  <c r="BB90" i="13" s="1"/>
  <c r="AX89" i="13"/>
  <c r="BF89" i="13"/>
  <c r="AM91" i="13"/>
  <c r="AO90" i="13"/>
  <c r="AP90" i="13" s="1"/>
  <c r="BE90" i="13"/>
  <c r="AU91" i="13"/>
  <c r="AW90" i="13"/>
  <c r="BE28" i="13"/>
  <c r="AU29" i="13"/>
  <c r="AW28" i="13"/>
  <c r="AM70" i="13"/>
  <c r="AO69" i="13"/>
  <c r="AP69" i="13" s="1"/>
  <c r="AY49" i="13"/>
  <c r="BA48" i="13"/>
  <c r="BB48" i="13" s="1"/>
  <c r="AY29" i="13"/>
  <c r="BA28" i="13"/>
  <c r="BB28" i="13" s="1"/>
  <c r="G49" i="3"/>
  <c r="G50" i="3"/>
  <c r="G51" i="3"/>
  <c r="G52" i="3"/>
  <c r="F49" i="3"/>
  <c r="E49" i="3"/>
  <c r="F52" i="3"/>
  <c r="F50" i="3"/>
  <c r="E50" i="3"/>
  <c r="F51" i="3"/>
  <c r="E51" i="3"/>
  <c r="AS47" i="13" l="1"/>
  <c r="BC47" i="13"/>
  <c r="AQ48" i="13"/>
  <c r="BD67" i="13"/>
  <c r="AT67" i="13"/>
  <c r="BD46" i="13"/>
  <c r="AT46" i="13"/>
  <c r="BC68" i="13"/>
  <c r="AQ69" i="13"/>
  <c r="AS68" i="13"/>
  <c r="AQ90" i="13"/>
  <c r="AS89" i="13"/>
  <c r="BC89" i="13"/>
  <c r="AS27" i="13"/>
  <c r="BC27" i="13"/>
  <c r="AQ28" i="13"/>
  <c r="BD88" i="13"/>
  <c r="AT88" i="13"/>
  <c r="AT26" i="13"/>
  <c r="BD26" i="13"/>
  <c r="AX69" i="13"/>
  <c r="BF69" i="13"/>
  <c r="AU92" i="13"/>
  <c r="BE91" i="13"/>
  <c r="AW91" i="13"/>
  <c r="AM50" i="13"/>
  <c r="AO49" i="13"/>
  <c r="AP49" i="13" s="1"/>
  <c r="AM30" i="13"/>
  <c r="AO29" i="13"/>
  <c r="AP29" i="13" s="1"/>
  <c r="AX90" i="13"/>
  <c r="BF90" i="13"/>
  <c r="AY92" i="13"/>
  <c r="BA91" i="13"/>
  <c r="BB91" i="13" s="1"/>
  <c r="AX48" i="13"/>
  <c r="BF48" i="13"/>
  <c r="AY30" i="13"/>
  <c r="BA29" i="13"/>
  <c r="BB29" i="13" s="1"/>
  <c r="AM71" i="13"/>
  <c r="AO70" i="13"/>
  <c r="AP70" i="13" s="1"/>
  <c r="AY50" i="13"/>
  <c r="BA49" i="13"/>
  <c r="BB49" i="13" s="1"/>
  <c r="AX28" i="13"/>
  <c r="BF28" i="13"/>
  <c r="BE70" i="13"/>
  <c r="AU71" i="13"/>
  <c r="AW70" i="13"/>
  <c r="AM92" i="13"/>
  <c r="AO91" i="13"/>
  <c r="AP91" i="13" s="1"/>
  <c r="AU50" i="13"/>
  <c r="BE49" i="13"/>
  <c r="AW49" i="13"/>
  <c r="BE29" i="13"/>
  <c r="AU30" i="13"/>
  <c r="AW29" i="13"/>
  <c r="AY71" i="13"/>
  <c r="BA70" i="13"/>
  <c r="BB70" i="13" s="1"/>
  <c r="H49" i="3"/>
  <c r="H50" i="3"/>
  <c r="H51" i="3"/>
  <c r="H52" i="3"/>
  <c r="F54" i="3"/>
  <c r="C49" i="3" s="1"/>
  <c r="BC28" i="13" l="1"/>
  <c r="AQ29" i="13"/>
  <c r="AS28" i="13"/>
  <c r="BD27" i="13"/>
  <c r="AT27" i="13"/>
  <c r="BD89" i="13"/>
  <c r="AT89" i="13"/>
  <c r="BC90" i="13"/>
  <c r="AS90" i="13"/>
  <c r="AQ91" i="13"/>
  <c r="AS48" i="13"/>
  <c r="BC48" i="13"/>
  <c r="AQ49" i="13"/>
  <c r="BD68" i="13"/>
  <c r="AT68" i="13"/>
  <c r="BC69" i="13"/>
  <c r="AQ70" i="13"/>
  <c r="AS69" i="13"/>
  <c r="BD47" i="13"/>
  <c r="AT47" i="13"/>
  <c r="AM51" i="13"/>
  <c r="AO50" i="13"/>
  <c r="AP50" i="13" s="1"/>
  <c r="BA50" i="13"/>
  <c r="BB50" i="13" s="1"/>
  <c r="AY51" i="13"/>
  <c r="AX49" i="13"/>
  <c r="BF49" i="13"/>
  <c r="AX70" i="13"/>
  <c r="BF70" i="13"/>
  <c r="BA92" i="13"/>
  <c r="BB92" i="13" s="1"/>
  <c r="AY93" i="13"/>
  <c r="AX91" i="13"/>
  <c r="BF91" i="13"/>
  <c r="AM31" i="13"/>
  <c r="AO30" i="13"/>
  <c r="AP30" i="13" s="1"/>
  <c r="AX29" i="13"/>
  <c r="BF29" i="13"/>
  <c r="AU51" i="13"/>
  <c r="BE50" i="13"/>
  <c r="AW50" i="13"/>
  <c r="AM72" i="13"/>
  <c r="AO71" i="13"/>
  <c r="AP71" i="13" s="1"/>
  <c r="BE92" i="13"/>
  <c r="AW92" i="13"/>
  <c r="AU93" i="13"/>
  <c r="AU31" i="13"/>
  <c r="BE30" i="13"/>
  <c r="AW30" i="13"/>
  <c r="AY72" i="13"/>
  <c r="BA71" i="13"/>
  <c r="BB71" i="13" s="1"/>
  <c r="AU72" i="13"/>
  <c r="AW71" i="13"/>
  <c r="BE71" i="13"/>
  <c r="AM93" i="13"/>
  <c r="AO92" i="13"/>
  <c r="AP92" i="13" s="1"/>
  <c r="BA30" i="13"/>
  <c r="BB30" i="13" s="1"/>
  <c r="AY31" i="13"/>
  <c r="H54" i="3"/>
  <c r="J46" i="3" s="1"/>
  <c r="C26" i="6" s="1"/>
  <c r="G26" i="6" s="1"/>
  <c r="L49" i="3" l="1"/>
  <c r="J47" i="3"/>
  <c r="C27" i="6" s="1"/>
  <c r="G27" i="6" s="1"/>
  <c r="H26" i="6" s="1"/>
  <c r="I26" i="6" s="1"/>
  <c r="L50" i="3"/>
  <c r="L52" i="3"/>
  <c r="L53" i="3"/>
  <c r="L51" i="3"/>
  <c r="L26" i="6"/>
  <c r="AQ50" i="13"/>
  <c r="AS49" i="13"/>
  <c r="BC49" i="13"/>
  <c r="AT48" i="13"/>
  <c r="BD48" i="13"/>
  <c r="BD28" i="13"/>
  <c r="AT28" i="13"/>
  <c r="AT69" i="13"/>
  <c r="BD69" i="13"/>
  <c r="AQ92" i="13"/>
  <c r="AS91" i="13"/>
  <c r="BC91" i="13"/>
  <c r="AQ30" i="13"/>
  <c r="BC29" i="13"/>
  <c r="AS29" i="13"/>
  <c r="BC70" i="13"/>
  <c r="AS70" i="13"/>
  <c r="AQ71" i="13"/>
  <c r="BD90" i="13"/>
  <c r="AT90" i="13"/>
  <c r="BA31" i="13"/>
  <c r="BB31" i="13" s="1"/>
  <c r="AY32" i="13"/>
  <c r="AY73" i="13"/>
  <c r="BA72" i="13"/>
  <c r="BB72" i="13" s="1"/>
  <c r="AX50" i="13"/>
  <c r="BF50" i="13"/>
  <c r="AY94" i="13"/>
  <c r="BA93" i="13"/>
  <c r="BB93" i="13" s="1"/>
  <c r="AY52" i="13"/>
  <c r="BA51" i="13"/>
  <c r="BB51" i="13" s="1"/>
  <c r="AM94" i="13"/>
  <c r="AO93" i="13"/>
  <c r="AP93" i="13" s="1"/>
  <c r="AU32" i="13"/>
  <c r="AW31" i="13"/>
  <c r="BE31" i="13"/>
  <c r="AU52" i="13"/>
  <c r="BE51" i="13"/>
  <c r="AW51" i="13"/>
  <c r="AX30" i="13"/>
  <c r="BF30" i="13"/>
  <c r="AW93" i="13"/>
  <c r="BE93" i="13"/>
  <c r="AU94" i="13"/>
  <c r="AX71" i="13"/>
  <c r="BF71" i="13"/>
  <c r="AX92" i="13"/>
  <c r="BF92" i="13"/>
  <c r="AM73" i="13"/>
  <c r="AO72" i="13"/>
  <c r="AP72" i="13" s="1"/>
  <c r="AU73" i="13"/>
  <c r="AW72" i="13"/>
  <c r="BE72" i="13"/>
  <c r="AM32" i="13"/>
  <c r="AO31" i="13"/>
  <c r="AP31" i="13" s="1"/>
  <c r="AM52" i="13"/>
  <c r="AO51" i="13"/>
  <c r="AP51" i="13" s="1"/>
  <c r="R26" i="6" l="1"/>
  <c r="S26" i="6" s="1"/>
  <c r="P26" i="6" s="1"/>
  <c r="J26" i="6"/>
  <c r="J48" i="3"/>
  <c r="BC71" i="13"/>
  <c r="AQ72" i="13"/>
  <c r="AS71" i="13"/>
  <c r="BD29" i="13"/>
  <c r="AT29" i="13"/>
  <c r="BC92" i="13"/>
  <c r="AQ93" i="13"/>
  <c r="AS92" i="13"/>
  <c r="BD70" i="13"/>
  <c r="AT70" i="13"/>
  <c r="AS50" i="13"/>
  <c r="BC50" i="13"/>
  <c r="AQ51" i="13"/>
  <c r="AQ31" i="13"/>
  <c r="BC30" i="13"/>
  <c r="AS30" i="13"/>
  <c r="AT49" i="13"/>
  <c r="BD49" i="13"/>
  <c r="BD91" i="13"/>
  <c r="AT91" i="13"/>
  <c r="AY95" i="13"/>
  <c r="BA94" i="13"/>
  <c r="BB94" i="13" s="1"/>
  <c r="AM95" i="13"/>
  <c r="AO94" i="13"/>
  <c r="AP94" i="13" s="1"/>
  <c r="AX31" i="13"/>
  <c r="BF31" i="13"/>
  <c r="AM53" i="13"/>
  <c r="AO52" i="13"/>
  <c r="AP52" i="13" s="1"/>
  <c r="AU33" i="13"/>
  <c r="AW32" i="13"/>
  <c r="BE32" i="13"/>
  <c r="AM74" i="13"/>
  <c r="AO73" i="13"/>
  <c r="AP73" i="13" s="1"/>
  <c r="BE94" i="13"/>
  <c r="AU95" i="13"/>
  <c r="AW94" i="13"/>
  <c r="AX51" i="13"/>
  <c r="BF51" i="13"/>
  <c r="AX93" i="13"/>
  <c r="BF93" i="13"/>
  <c r="AU53" i="13"/>
  <c r="BE52" i="13"/>
  <c r="AW52" i="13"/>
  <c r="AY33" i="13"/>
  <c r="BA32" i="13"/>
  <c r="BB32" i="13" s="1"/>
  <c r="AX72" i="13"/>
  <c r="BF72" i="13"/>
  <c r="BE73" i="13"/>
  <c r="AU74" i="13"/>
  <c r="AW73" i="13"/>
  <c r="AM33" i="13"/>
  <c r="AO32" i="13"/>
  <c r="AP32" i="13" s="1"/>
  <c r="AY53" i="13"/>
  <c r="BA52" i="13"/>
  <c r="BB52" i="13" s="1"/>
  <c r="BA73" i="13"/>
  <c r="BB73" i="13" s="1"/>
  <c r="AY74" i="13"/>
  <c r="C34" i="3"/>
  <c r="I38" i="3" s="1"/>
  <c r="L38" i="3" s="1"/>
  <c r="I37" i="3" l="1"/>
  <c r="L37" i="3" s="1"/>
  <c r="I36" i="3"/>
  <c r="L36" i="3" s="1"/>
  <c r="I35" i="3"/>
  <c r="L35" i="3" s="1"/>
  <c r="I33" i="3"/>
  <c r="I34" i="3"/>
  <c r="L34" i="3" s="1"/>
  <c r="I32" i="3"/>
  <c r="J49" i="3"/>
  <c r="C28" i="6"/>
  <c r="G28" i="6" s="1"/>
  <c r="BC93" i="13"/>
  <c r="AS93" i="13"/>
  <c r="AQ94" i="13"/>
  <c r="AT30" i="13"/>
  <c r="BD30" i="13"/>
  <c r="BC31" i="13"/>
  <c r="AQ32" i="13"/>
  <c r="AS31" i="13"/>
  <c r="BC72" i="13"/>
  <c r="AQ73" i="13"/>
  <c r="AS72" i="13"/>
  <c r="BD92" i="13"/>
  <c r="AT92" i="13"/>
  <c r="AQ52" i="13"/>
  <c r="BC51" i="13"/>
  <c r="AS51" i="13"/>
  <c r="BD50" i="13"/>
  <c r="AT50" i="13"/>
  <c r="BD71" i="13"/>
  <c r="AT71" i="13"/>
  <c r="AU96" i="13"/>
  <c r="BE95" i="13"/>
  <c r="AW95" i="13"/>
  <c r="AY75" i="13"/>
  <c r="BA74" i="13"/>
  <c r="BB74" i="13" s="1"/>
  <c r="AM34" i="13"/>
  <c r="AO33" i="13"/>
  <c r="AP33" i="13" s="1"/>
  <c r="AW74" i="13"/>
  <c r="AU75" i="13"/>
  <c r="BE74" i="13"/>
  <c r="AY34" i="13"/>
  <c r="BA33" i="13"/>
  <c r="BB33" i="13" s="1"/>
  <c r="AX52" i="13"/>
  <c r="BF52" i="13"/>
  <c r="AX32" i="13"/>
  <c r="BF32" i="13"/>
  <c r="AX73" i="13"/>
  <c r="BF73" i="13"/>
  <c r="AM75" i="13"/>
  <c r="AO74" i="13"/>
  <c r="AP74" i="13" s="1"/>
  <c r="AY54" i="13"/>
  <c r="BA53" i="13"/>
  <c r="BB53" i="13" s="1"/>
  <c r="BE33" i="13"/>
  <c r="AU34" i="13"/>
  <c r="AW33" i="13"/>
  <c r="BA95" i="13"/>
  <c r="BB95" i="13" s="1"/>
  <c r="AY96" i="13"/>
  <c r="BE53" i="13"/>
  <c r="AW53" i="13"/>
  <c r="AU54" i="13"/>
  <c r="AX94" i="13"/>
  <c r="BF94" i="13"/>
  <c r="AM96" i="13"/>
  <c r="AO95" i="13"/>
  <c r="AP95" i="13" s="1"/>
  <c r="AM54" i="13"/>
  <c r="AO53" i="13"/>
  <c r="AP53" i="13" s="1"/>
  <c r="H27" i="6" l="1"/>
  <c r="I27" i="6" s="1"/>
  <c r="L28" i="6"/>
  <c r="J50" i="3"/>
  <c r="C29" i="6"/>
  <c r="G29" i="6" s="1"/>
  <c r="AT51" i="13"/>
  <c r="BD51" i="13"/>
  <c r="AT31" i="13"/>
  <c r="BD31" i="13"/>
  <c r="AQ33" i="13"/>
  <c r="BC32" i="13"/>
  <c r="AS32" i="13"/>
  <c r="AS52" i="13"/>
  <c r="BC52" i="13"/>
  <c r="AQ53" i="13"/>
  <c r="BD72" i="13"/>
  <c r="AT72" i="13"/>
  <c r="AQ95" i="13"/>
  <c r="BC94" i="13"/>
  <c r="AS94" i="13"/>
  <c r="BC73" i="13"/>
  <c r="AS73" i="13"/>
  <c r="AQ74" i="13"/>
  <c r="BD93" i="13"/>
  <c r="AT93" i="13"/>
  <c r="AW54" i="13"/>
  <c r="AU55" i="13"/>
  <c r="BE54" i="13"/>
  <c r="AM76" i="13"/>
  <c r="AO75" i="13"/>
  <c r="AP75" i="13" s="1"/>
  <c r="AM55" i="13"/>
  <c r="AO54" i="13"/>
  <c r="AP54" i="13" s="1"/>
  <c r="AX53" i="13"/>
  <c r="BF53" i="13"/>
  <c r="AY35" i="13"/>
  <c r="BA34" i="13"/>
  <c r="BB34" i="13" s="1"/>
  <c r="AM35" i="13"/>
  <c r="AO34" i="13"/>
  <c r="AP34" i="13" s="1"/>
  <c r="AY55" i="13"/>
  <c r="BA54" i="13"/>
  <c r="BB54" i="13" s="1"/>
  <c r="AW75" i="13"/>
  <c r="BE75" i="13"/>
  <c r="AU76" i="13"/>
  <c r="BA75" i="13"/>
  <c r="BB75" i="13" s="1"/>
  <c r="AY76" i="13"/>
  <c r="AY97" i="13"/>
  <c r="BA96" i="13"/>
  <c r="BB96" i="13" s="1"/>
  <c r="AM97" i="13"/>
  <c r="AO96" i="13"/>
  <c r="AP96" i="13" s="1"/>
  <c r="AX33" i="13"/>
  <c r="BF33" i="13"/>
  <c r="AX74" i="13"/>
  <c r="BF74" i="13"/>
  <c r="AX95" i="13"/>
  <c r="BF95" i="13"/>
  <c r="AW34" i="13"/>
  <c r="AU35" i="13"/>
  <c r="BE34" i="13"/>
  <c r="AU97" i="13"/>
  <c r="BE96" i="13"/>
  <c r="AW96" i="13"/>
  <c r="H28" i="6" l="1"/>
  <c r="I28" i="6" s="1"/>
  <c r="J28" i="6" s="1"/>
  <c r="L29" i="6"/>
  <c r="M28" i="6" s="1"/>
  <c r="N28" i="6" s="1"/>
  <c r="O28" i="6" s="1"/>
  <c r="J51" i="3"/>
  <c r="C30" i="6"/>
  <c r="G30" i="6" s="1"/>
  <c r="L30" i="6" s="1"/>
  <c r="J27" i="6"/>
  <c r="R27" i="6"/>
  <c r="S27" i="6" s="1"/>
  <c r="P27" i="6" s="1"/>
  <c r="BC95" i="13"/>
  <c r="AQ96" i="13"/>
  <c r="AS95" i="13"/>
  <c r="AS33" i="13"/>
  <c r="AQ34" i="13"/>
  <c r="BC33" i="13"/>
  <c r="AT52" i="13"/>
  <c r="BD52" i="13"/>
  <c r="BD94" i="13"/>
  <c r="AT94" i="13"/>
  <c r="BD32" i="13"/>
  <c r="AT32" i="13"/>
  <c r="AS74" i="13"/>
  <c r="BC74" i="13"/>
  <c r="AQ75" i="13"/>
  <c r="BC53" i="13"/>
  <c r="AQ54" i="13"/>
  <c r="AS53" i="13"/>
  <c r="AT73" i="13"/>
  <c r="BD73" i="13"/>
  <c r="BA35" i="13"/>
  <c r="BB35" i="13" s="1"/>
  <c r="AY36" i="13"/>
  <c r="AM98" i="13"/>
  <c r="AO97" i="13"/>
  <c r="AP97" i="13" s="1"/>
  <c r="AX75" i="13"/>
  <c r="BF75" i="13"/>
  <c r="AW35" i="13"/>
  <c r="AU36" i="13"/>
  <c r="BE35" i="13"/>
  <c r="AY98" i="13"/>
  <c r="BA97" i="13"/>
  <c r="BB97" i="13" s="1"/>
  <c r="AW55" i="13"/>
  <c r="AU56" i="13"/>
  <c r="BE55" i="13"/>
  <c r="AX34" i="13"/>
  <c r="BF34" i="13"/>
  <c r="AY77" i="13"/>
  <c r="BA76" i="13"/>
  <c r="BB76" i="13" s="1"/>
  <c r="AY56" i="13"/>
  <c r="BA55" i="13"/>
  <c r="BB55" i="13" s="1"/>
  <c r="AM56" i="13"/>
  <c r="AO55" i="13"/>
  <c r="AP55" i="13" s="1"/>
  <c r="AX54" i="13"/>
  <c r="BF54" i="13"/>
  <c r="AX96" i="13"/>
  <c r="BF96" i="13"/>
  <c r="AU98" i="13"/>
  <c r="BE97" i="13"/>
  <c r="AW97" i="13"/>
  <c r="AM77" i="13"/>
  <c r="AO76" i="13"/>
  <c r="AP76" i="13" s="1"/>
  <c r="BE76" i="13"/>
  <c r="AW76" i="13"/>
  <c r="AU77" i="13"/>
  <c r="AM36" i="13"/>
  <c r="AO35" i="13"/>
  <c r="AP35" i="13" s="1"/>
  <c r="M29" i="6" l="1"/>
  <c r="N29" i="6" s="1"/>
  <c r="O29" i="6" s="1"/>
  <c r="R28" i="6"/>
  <c r="S28" i="6" s="1"/>
  <c r="P28" i="6" s="1"/>
  <c r="H29" i="6"/>
  <c r="I29" i="6" s="1"/>
  <c r="J29" i="6" s="1"/>
  <c r="J52" i="3"/>
  <c r="C31" i="6"/>
  <c r="G31" i="6" s="1"/>
  <c r="BD74" i="13"/>
  <c r="AT74" i="13"/>
  <c r="BC34" i="13"/>
  <c r="AS34" i="13"/>
  <c r="AQ35" i="13"/>
  <c r="BD33" i="13"/>
  <c r="AT33" i="13"/>
  <c r="AT95" i="13"/>
  <c r="BD95" i="13"/>
  <c r="AS75" i="13"/>
  <c r="BC75" i="13"/>
  <c r="AQ76" i="13"/>
  <c r="BD53" i="13"/>
  <c r="AT53" i="13"/>
  <c r="AS96" i="13"/>
  <c r="BC96" i="13"/>
  <c r="AQ97" i="13"/>
  <c r="AS54" i="13"/>
  <c r="BC54" i="13"/>
  <c r="AQ55" i="13"/>
  <c r="AY99" i="13"/>
  <c r="BA98" i="13"/>
  <c r="BB98" i="13" s="1"/>
  <c r="AX35" i="13"/>
  <c r="BF35" i="13"/>
  <c r="AM78" i="13"/>
  <c r="AO77" i="13"/>
  <c r="AP77" i="13" s="1"/>
  <c r="AY57" i="13"/>
  <c r="BA56" i="13"/>
  <c r="BB56" i="13" s="1"/>
  <c r="AX76" i="13"/>
  <c r="BF76" i="13"/>
  <c r="AU99" i="13"/>
  <c r="BE98" i="13"/>
  <c r="AW98" i="13"/>
  <c r="AY37" i="13"/>
  <c r="BA36" i="13"/>
  <c r="BB36" i="13" s="1"/>
  <c r="AM99" i="13"/>
  <c r="AO98" i="13"/>
  <c r="AP98" i="13" s="1"/>
  <c r="AM37" i="13"/>
  <c r="AO36" i="13"/>
  <c r="AP36" i="13" s="1"/>
  <c r="AX97" i="13"/>
  <c r="BF97" i="13"/>
  <c r="BE56" i="13"/>
  <c r="AU57" i="13"/>
  <c r="AW56" i="13"/>
  <c r="AM57" i="13"/>
  <c r="AO56" i="13"/>
  <c r="AP56" i="13" s="1"/>
  <c r="AU37" i="13"/>
  <c r="AW36" i="13"/>
  <c r="BE36" i="13"/>
  <c r="AU78" i="13"/>
  <c r="AW77" i="13"/>
  <c r="BE77" i="13"/>
  <c r="BA77" i="13"/>
  <c r="BB77" i="13" s="1"/>
  <c r="AY78" i="13"/>
  <c r="AX55" i="13"/>
  <c r="BF55" i="13"/>
  <c r="R29" i="6" l="1"/>
  <c r="S29" i="6" s="1"/>
  <c r="P29" i="6" s="1"/>
  <c r="H30" i="6"/>
  <c r="I30" i="6" s="1"/>
  <c r="L31" i="6"/>
  <c r="M30" i="6" s="1"/>
  <c r="N30" i="6" s="1"/>
  <c r="O30" i="6" s="1"/>
  <c r="I31" i="6"/>
  <c r="J31" i="6" s="1"/>
  <c r="C32" i="6"/>
  <c r="J53" i="3"/>
  <c r="C33" i="6" s="1"/>
  <c r="BD96" i="13"/>
  <c r="AT96" i="13"/>
  <c r="AS35" i="13"/>
  <c r="AQ36" i="13"/>
  <c r="BC35" i="13"/>
  <c r="BC55" i="13"/>
  <c r="AQ56" i="13"/>
  <c r="AS55" i="13"/>
  <c r="AQ77" i="13"/>
  <c r="BC76" i="13"/>
  <c r="AS76" i="13"/>
  <c r="AT34" i="13"/>
  <c r="BD34" i="13"/>
  <c r="BD54" i="13"/>
  <c r="AT54" i="13"/>
  <c r="BD75" i="13"/>
  <c r="AT75" i="13"/>
  <c r="AS97" i="13"/>
  <c r="BC97" i="13"/>
  <c r="AQ98" i="13"/>
  <c r="AY58" i="13"/>
  <c r="BA57" i="13"/>
  <c r="BB57" i="13" s="1"/>
  <c r="AX77" i="13"/>
  <c r="BF77" i="13"/>
  <c r="AM38" i="13"/>
  <c r="AO37" i="13"/>
  <c r="AP37" i="13" s="1"/>
  <c r="AY38" i="13"/>
  <c r="BA37" i="13"/>
  <c r="BB37" i="13" s="1"/>
  <c r="BA99" i="13"/>
  <c r="BB99" i="13" s="1"/>
  <c r="AY100" i="13"/>
  <c r="AU79" i="13"/>
  <c r="BE78" i="13"/>
  <c r="AW78" i="13"/>
  <c r="AM58" i="13"/>
  <c r="AO57" i="13"/>
  <c r="AP57" i="13" s="1"/>
  <c r="AX98" i="13"/>
  <c r="BF98" i="13"/>
  <c r="AM79" i="13"/>
  <c r="AO78" i="13"/>
  <c r="AP78" i="13" s="1"/>
  <c r="AX56" i="13"/>
  <c r="BF56" i="13"/>
  <c r="AY79" i="13"/>
  <c r="BA78" i="13"/>
  <c r="BB78" i="13" s="1"/>
  <c r="AU38" i="13"/>
  <c r="BE37" i="13"/>
  <c r="AW37" i="13"/>
  <c r="AW57" i="13"/>
  <c r="AU58" i="13"/>
  <c r="BE57" i="13"/>
  <c r="AU100" i="13"/>
  <c r="BE99" i="13"/>
  <c r="AW99" i="13"/>
  <c r="AM100" i="13"/>
  <c r="AO99" i="13"/>
  <c r="AP99" i="13" s="1"/>
  <c r="AX36" i="13"/>
  <c r="BF36" i="13"/>
  <c r="E32" i="6"/>
  <c r="G32" i="6" l="1"/>
  <c r="L32" i="6" s="1"/>
  <c r="M31" i="6" s="1"/>
  <c r="N31" i="6" s="1"/>
  <c r="O31" i="6" s="1"/>
  <c r="G34" i="6"/>
  <c r="F32" i="6"/>
  <c r="F33" i="6" s="1"/>
  <c r="M32" i="6" s="1"/>
  <c r="J30" i="6"/>
  <c r="R30" i="6"/>
  <c r="S30" i="6" s="1"/>
  <c r="P30" i="6" s="1"/>
  <c r="R31" i="6"/>
  <c r="S31" i="6" s="1"/>
  <c r="AQ57" i="13"/>
  <c r="AS56" i="13"/>
  <c r="BC56" i="13"/>
  <c r="BD55" i="13"/>
  <c r="AT55" i="13"/>
  <c r="BC98" i="13"/>
  <c r="AS98" i="13"/>
  <c r="AQ99" i="13"/>
  <c r="BC36" i="13"/>
  <c r="AQ37" i="13"/>
  <c r="AS36" i="13"/>
  <c r="BD76" i="13"/>
  <c r="AT76" i="13"/>
  <c r="BD35" i="13"/>
  <c r="AT35" i="13"/>
  <c r="BD97" i="13"/>
  <c r="AT97" i="13"/>
  <c r="AS77" i="13"/>
  <c r="BC77" i="13"/>
  <c r="AQ78" i="13"/>
  <c r="AX57" i="13"/>
  <c r="BF57" i="13"/>
  <c r="AM39" i="13"/>
  <c r="AO38" i="13"/>
  <c r="AP38" i="13" s="1"/>
  <c r="AX99" i="13"/>
  <c r="BF99" i="13"/>
  <c r="AX37" i="13"/>
  <c r="BF37" i="13"/>
  <c r="AM80" i="13"/>
  <c r="AO79" i="13"/>
  <c r="AP79" i="13" s="1"/>
  <c r="BA100" i="13"/>
  <c r="BB100" i="13" s="1"/>
  <c r="AY101" i="13"/>
  <c r="AY39" i="13"/>
  <c r="BA38" i="13"/>
  <c r="BB38" i="13" s="1"/>
  <c r="AU59" i="13"/>
  <c r="BE58" i="13"/>
  <c r="AW58" i="13"/>
  <c r="AM59" i="13"/>
  <c r="AO58" i="13"/>
  <c r="AP58" i="13" s="1"/>
  <c r="AX78" i="13"/>
  <c r="BF78" i="13"/>
  <c r="BE79" i="13"/>
  <c r="AU80" i="13"/>
  <c r="AW79" i="13"/>
  <c r="BA79" i="13"/>
  <c r="BB79" i="13" s="1"/>
  <c r="AY80" i="13"/>
  <c r="AY59" i="13"/>
  <c r="BA58" i="13"/>
  <c r="BB58" i="13" s="1"/>
  <c r="AM101" i="13"/>
  <c r="AO100" i="13"/>
  <c r="AP100" i="13" s="1"/>
  <c r="AW100" i="13"/>
  <c r="AU101" i="13"/>
  <c r="BE100" i="13"/>
  <c r="AU39" i="13"/>
  <c r="BE38" i="13"/>
  <c r="AW38" i="13"/>
  <c r="N32" i="6" l="1"/>
  <c r="O32" i="6" s="1"/>
  <c r="P31" i="6"/>
  <c r="M33" i="6"/>
  <c r="G33" i="6"/>
  <c r="L33" i="6" s="1"/>
  <c r="L34" i="6" s="1"/>
  <c r="F34" i="6"/>
  <c r="M34" i="6" s="1"/>
  <c r="H32" i="6"/>
  <c r="I32" i="6" s="1"/>
  <c r="J32" i="6" s="1"/>
  <c r="H33" i="6"/>
  <c r="BD98" i="13"/>
  <c r="AT98" i="13"/>
  <c r="AS78" i="13"/>
  <c r="BC78" i="13"/>
  <c r="AQ79" i="13"/>
  <c r="BD36" i="13"/>
  <c r="AT36" i="13"/>
  <c r="AS99" i="13"/>
  <c r="BC99" i="13"/>
  <c r="AQ100" i="13"/>
  <c r="AT77" i="13"/>
  <c r="BD77" i="13"/>
  <c r="AQ38" i="13"/>
  <c r="BC37" i="13"/>
  <c r="AS37" i="13"/>
  <c r="BD56" i="13"/>
  <c r="AT56" i="13"/>
  <c r="AS57" i="13"/>
  <c r="AQ58" i="13"/>
  <c r="BC57" i="13"/>
  <c r="AY60" i="13"/>
  <c r="BA59" i="13"/>
  <c r="BB59" i="13" s="1"/>
  <c r="BF38" i="13"/>
  <c r="AX38" i="13"/>
  <c r="AU60" i="13"/>
  <c r="BE59" i="13"/>
  <c r="AW59" i="13"/>
  <c r="AM40" i="13"/>
  <c r="AO39" i="13"/>
  <c r="AP39" i="13" s="1"/>
  <c r="BF79" i="13"/>
  <c r="AX79" i="13"/>
  <c r="BF58" i="13"/>
  <c r="AX58" i="13"/>
  <c r="AM102" i="13"/>
  <c r="AO101" i="13"/>
  <c r="AP101" i="13" s="1"/>
  <c r="AY81" i="13"/>
  <c r="BA80" i="13"/>
  <c r="BB80" i="13" s="1"/>
  <c r="BA101" i="13"/>
  <c r="BB101" i="13" s="1"/>
  <c r="AY102" i="13"/>
  <c r="AU81" i="13"/>
  <c r="AW80" i="13"/>
  <c r="BE80" i="13"/>
  <c r="AM60" i="13"/>
  <c r="AO59" i="13"/>
  <c r="AP59" i="13" s="1"/>
  <c r="AY40" i="13"/>
  <c r="BA39" i="13"/>
  <c r="BB39" i="13" s="1"/>
  <c r="AM81" i="13"/>
  <c r="AO80" i="13"/>
  <c r="AP80" i="13" s="1"/>
  <c r="AW101" i="13"/>
  <c r="AU102" i="13"/>
  <c r="BE101" i="13"/>
  <c r="BF100" i="13"/>
  <c r="AX100" i="13"/>
  <c r="AU40" i="13"/>
  <c r="BE39" i="13"/>
  <c r="AW39" i="13"/>
  <c r="H34" i="6" l="1"/>
  <c r="R32" i="6"/>
  <c r="S32" i="6" s="1"/>
  <c r="P32" i="6" s="1"/>
  <c r="AS38" i="13"/>
  <c r="BC38" i="13"/>
  <c r="AQ39" i="13"/>
  <c r="AS79" i="13"/>
  <c r="AQ80" i="13"/>
  <c r="BC79" i="13"/>
  <c r="AQ59" i="13"/>
  <c r="AS58" i="13"/>
  <c r="BC58" i="13"/>
  <c r="BD78" i="13"/>
  <c r="AT78" i="13"/>
  <c r="BD57" i="13"/>
  <c r="AT57" i="13"/>
  <c r="BC100" i="13"/>
  <c r="AQ101" i="13"/>
  <c r="AS100" i="13"/>
  <c r="BD99" i="13"/>
  <c r="AT99" i="13"/>
  <c r="BD37" i="13"/>
  <c r="AT37" i="13"/>
  <c r="AU103" i="13"/>
  <c r="BE102" i="13"/>
  <c r="AW102" i="13"/>
  <c r="BE60" i="13"/>
  <c r="AU61" i="13"/>
  <c r="AW60" i="13"/>
  <c r="AM82" i="13"/>
  <c r="AO82" i="13" s="1"/>
  <c r="AP82" i="13" s="1"/>
  <c r="AO81" i="13"/>
  <c r="AP81" i="13" s="1"/>
  <c r="AU41" i="13"/>
  <c r="BE40" i="13"/>
  <c r="AW40" i="13"/>
  <c r="AY41" i="13"/>
  <c r="BA41" i="13" s="1"/>
  <c r="BB41" i="13" s="1"/>
  <c r="BA40" i="13"/>
  <c r="BB40" i="13" s="1"/>
  <c r="AM103" i="13"/>
  <c r="AO103" i="13" s="1"/>
  <c r="AP103" i="13" s="1"/>
  <c r="AO102" i="13"/>
  <c r="AP102" i="13" s="1"/>
  <c r="AM41" i="13"/>
  <c r="AO41" i="13" s="1"/>
  <c r="AP41" i="13" s="1"/>
  <c r="AO40" i="13"/>
  <c r="AP40" i="13" s="1"/>
  <c r="BF101" i="13"/>
  <c r="AX101" i="13"/>
  <c r="AX80" i="13"/>
  <c r="BF80" i="13"/>
  <c r="AY82" i="13"/>
  <c r="BA82" i="13" s="1"/>
  <c r="BB82" i="13" s="1"/>
  <c r="BA81" i="13"/>
  <c r="BB81" i="13" s="1"/>
  <c r="AY103" i="13"/>
  <c r="BA103" i="13" s="1"/>
  <c r="BB103" i="13" s="1"/>
  <c r="BA102" i="13"/>
  <c r="BB102" i="13" s="1"/>
  <c r="AX59" i="13"/>
  <c r="BF59" i="13"/>
  <c r="AM61" i="13"/>
  <c r="AO60" i="13"/>
  <c r="AP60" i="13" s="1"/>
  <c r="BA60" i="13"/>
  <c r="BB60" i="13" s="1"/>
  <c r="AY61" i="13"/>
  <c r="AX39" i="13"/>
  <c r="BF39" i="13"/>
  <c r="AW81" i="13"/>
  <c r="BE81" i="13"/>
  <c r="AU82" i="13"/>
  <c r="AS59" i="13" l="1"/>
  <c r="AQ60" i="13"/>
  <c r="BC59" i="13"/>
  <c r="AS80" i="13"/>
  <c r="BC80" i="13"/>
  <c r="AQ81" i="13"/>
  <c r="AS101" i="13"/>
  <c r="BC101" i="13"/>
  <c r="AQ102" i="13"/>
  <c r="AT79" i="13"/>
  <c r="BD79" i="13"/>
  <c r="AT100" i="13"/>
  <c r="BD100" i="13"/>
  <c r="AQ40" i="13"/>
  <c r="BC39" i="13"/>
  <c r="AS39" i="13"/>
  <c r="BD58" i="13"/>
  <c r="AT58" i="13"/>
  <c r="BD38" i="13"/>
  <c r="AT38" i="13"/>
  <c r="BA61" i="13"/>
  <c r="BB61" i="13" s="1"/>
  <c r="AY62" i="13"/>
  <c r="BA62" i="13" s="1"/>
  <c r="BB62" i="13" s="1"/>
  <c r="AW41" i="13"/>
  <c r="BE41" i="13"/>
  <c r="BE103" i="13"/>
  <c r="AW103" i="13"/>
  <c r="AM62" i="13"/>
  <c r="AO62" i="13" s="1"/>
  <c r="AP62" i="13" s="1"/>
  <c r="AO61" i="13"/>
  <c r="AP61" i="13" s="1"/>
  <c r="BF60" i="13"/>
  <c r="AX60" i="13"/>
  <c r="BF81" i="13"/>
  <c r="AX81" i="13"/>
  <c r="AW82" i="13"/>
  <c r="BE82" i="13"/>
  <c r="AU62" i="13"/>
  <c r="BE61" i="13"/>
  <c r="AW61" i="13"/>
  <c r="BF40" i="13"/>
  <c r="AX40" i="13"/>
  <c r="AX102" i="13"/>
  <c r="BF102" i="13"/>
  <c r="BD101" i="13" l="1"/>
  <c r="AT101" i="13"/>
  <c r="BD59" i="13"/>
  <c r="AT59" i="13"/>
  <c r="AT39" i="13"/>
  <c r="BD39" i="13"/>
  <c r="AS40" i="13"/>
  <c r="BC40" i="13"/>
  <c r="AQ41" i="13"/>
  <c r="AQ82" i="13"/>
  <c r="BC81" i="13"/>
  <c r="AS81" i="13"/>
  <c r="AQ103" i="13"/>
  <c r="BC102" i="13"/>
  <c r="AS102" i="13"/>
  <c r="BD80" i="13"/>
  <c r="AT80" i="13"/>
  <c r="AQ61" i="13"/>
  <c r="BC60" i="13"/>
  <c r="AS60" i="13"/>
  <c r="AX61" i="13"/>
  <c r="BF61" i="13"/>
  <c r="BE62" i="13"/>
  <c r="AW62" i="13"/>
  <c r="AX41" i="13"/>
  <c r="BF41" i="13"/>
  <c r="BF82" i="13"/>
  <c r="AX82" i="13"/>
  <c r="BF103" i="13"/>
  <c r="AX103" i="13"/>
  <c r="AT102" i="13" l="1"/>
  <c r="BD102" i="13"/>
  <c r="AT40" i="13"/>
  <c r="BD40" i="13"/>
  <c r="BC103" i="13"/>
  <c r="AS103" i="13"/>
  <c r="BD60" i="13"/>
  <c r="AT60" i="13"/>
  <c r="BD81" i="13"/>
  <c r="AT81" i="13"/>
  <c r="BC61" i="13"/>
  <c r="AQ62" i="13"/>
  <c r="AS61" i="13"/>
  <c r="BC82" i="13"/>
  <c r="AS82" i="13"/>
  <c r="BC41" i="13"/>
  <c r="AS41" i="13"/>
  <c r="AX62" i="13"/>
  <c r="BF62" i="13"/>
  <c r="AT41" i="13" l="1"/>
  <c r="BD41" i="13"/>
  <c r="BD82" i="13"/>
  <c r="AT82" i="13"/>
  <c r="AT103" i="13"/>
  <c r="BD103" i="13"/>
  <c r="BD61" i="13"/>
  <c r="AT61" i="13"/>
  <c r="BC62" i="13"/>
  <c r="AS62" i="13"/>
  <c r="AT62" i="13" l="1"/>
  <c r="BD62" i="13"/>
  <c r="E23" i="3"/>
  <c r="E24" i="3"/>
  <c r="L27" i="6" l="1"/>
  <c r="M26" i="6" s="1"/>
  <c r="N26" i="6" s="1"/>
  <c r="O26" i="6" s="1"/>
  <c r="M27" i="6" l="1"/>
  <c r="N27" i="6" s="1"/>
  <c r="O27" i="6" s="1"/>
  <c r="J31" i="3" l="1"/>
  <c r="J32" i="3" s="1"/>
  <c r="C11" i="6" l="1"/>
  <c r="G11" i="6" s="1"/>
  <c r="L11" i="6" s="1"/>
  <c r="C12" i="6"/>
  <c r="G12" i="6" s="1"/>
  <c r="L12" i="6" s="1"/>
  <c r="J33" i="3"/>
  <c r="H11" i="6" l="1"/>
  <c r="I11" i="6" s="1"/>
  <c r="M11" i="6"/>
  <c r="N11" i="6" s="1"/>
  <c r="O11" i="6" s="1"/>
  <c r="J34" i="3"/>
  <c r="C13" i="6"/>
  <c r="G13" i="6" s="1"/>
  <c r="L13" i="6" l="1"/>
  <c r="H12" i="6"/>
  <c r="I12" i="6" s="1"/>
  <c r="J12" i="6" s="1"/>
  <c r="C14" i="6"/>
  <c r="G14" i="6" s="1"/>
  <c r="H13" i="6" s="1"/>
  <c r="J35" i="3"/>
  <c r="R11" i="6"/>
  <c r="S11" i="6" s="1"/>
  <c r="P11" i="6" s="1"/>
  <c r="J11" i="6"/>
  <c r="I13" i="6" l="1"/>
  <c r="J13" i="6" s="1"/>
  <c r="C15" i="6"/>
  <c r="G15" i="6" s="1"/>
  <c r="H14" i="6" s="1"/>
  <c r="J36" i="3"/>
  <c r="L14" i="6"/>
  <c r="M13" i="6" s="1"/>
  <c r="N13" i="6" s="1"/>
  <c r="O13" i="6" s="1"/>
  <c r="M12" i="6"/>
  <c r="N12" i="6" s="1"/>
  <c r="O12" i="6" s="1"/>
  <c r="R12" i="6"/>
  <c r="S12" i="6" s="1"/>
  <c r="P12" i="6" s="1"/>
  <c r="R13" i="6" l="1"/>
  <c r="S13" i="6" s="1"/>
  <c r="P13" i="6" s="1"/>
  <c r="J37" i="3"/>
  <c r="C16" i="6"/>
  <c r="G16" i="6" s="1"/>
  <c r="H15" i="6" s="1"/>
  <c r="L15" i="6"/>
  <c r="M14" i="6" s="1"/>
  <c r="N14" i="6" s="1"/>
  <c r="O14" i="6" s="1"/>
  <c r="I14" i="6"/>
  <c r="J14" i="6" l="1"/>
  <c r="R14" i="6"/>
  <c r="S14" i="6" s="1"/>
  <c r="P14" i="6" s="1"/>
  <c r="I15" i="6"/>
  <c r="J15" i="6" s="1"/>
  <c r="J38" i="3"/>
  <c r="C18" i="6" s="1"/>
  <c r="C17" i="6"/>
  <c r="G17" i="6" s="1"/>
  <c r="L17" i="6" s="1"/>
  <c r="L16" i="6"/>
  <c r="M16" i="6" l="1"/>
  <c r="N16" i="6" s="1"/>
  <c r="O16" i="6" s="1"/>
  <c r="H16" i="6"/>
  <c r="I16" i="6" s="1"/>
  <c r="M15" i="6"/>
  <c r="N15" i="6" s="1"/>
  <c r="O15" i="6" s="1"/>
  <c r="F17" i="6"/>
  <c r="D18" i="6"/>
  <c r="D33" i="6" s="1"/>
  <c r="E18" i="6"/>
  <c r="G19" i="6" s="1"/>
  <c r="R15" i="6"/>
  <c r="S15" i="6" s="1"/>
  <c r="P15" i="6" s="1"/>
  <c r="J16" i="6" l="1"/>
  <c r="R16" i="6"/>
  <c r="S16" i="6" s="1"/>
  <c r="P16" i="6" s="1"/>
  <c r="N34" i="6"/>
  <c r="O34" i="6" s="1"/>
  <c r="I34" i="6"/>
  <c r="J34" i="6" s="1"/>
  <c r="I33" i="6"/>
  <c r="N33" i="6"/>
  <c r="O33" i="6" s="1"/>
  <c r="A55" i="8"/>
  <c r="A135" i="8"/>
  <c r="A75" i="8"/>
  <c r="A175" i="8"/>
  <c r="A15" i="8"/>
  <c r="F18" i="6"/>
  <c r="A115" i="8"/>
  <c r="A35" i="8"/>
  <c r="A195" i="8"/>
  <c r="A235" i="8"/>
  <c r="A215" i="8"/>
  <c r="A155" i="8"/>
  <c r="A95" i="8"/>
  <c r="F55" i="8" l="1"/>
  <c r="I55" i="8" s="1"/>
  <c r="B55" i="8"/>
  <c r="C55" i="8" s="1"/>
  <c r="D55" i="8" s="1"/>
  <c r="G55" i="8" s="1"/>
  <c r="R33" i="6"/>
  <c r="S33" i="6" s="1"/>
  <c r="P33" i="6" s="1"/>
  <c r="J33" i="6"/>
  <c r="F115" i="8"/>
  <c r="I115" i="8" s="1"/>
  <c r="B115" i="8"/>
  <c r="C115" i="8" s="1"/>
  <c r="D115" i="8" s="1"/>
  <c r="G115" i="8" s="1"/>
  <c r="F15" i="8"/>
  <c r="H15" i="8" s="1"/>
  <c r="B15" i="8"/>
  <c r="C15" i="8" s="1"/>
  <c r="D15" i="8" s="1"/>
  <c r="G15" i="8" s="1"/>
  <c r="F175" i="8"/>
  <c r="I175" i="8" s="1"/>
  <c r="B175" i="8"/>
  <c r="C175" i="8" s="1"/>
  <c r="D175" i="8" s="1"/>
  <c r="G175" i="8" s="1"/>
  <c r="B155" i="8"/>
  <c r="C155" i="8" s="1"/>
  <c r="D155" i="8" s="1"/>
  <c r="G155" i="8" s="1"/>
  <c r="F155" i="8"/>
  <c r="I155" i="8" s="1"/>
  <c r="B235" i="8"/>
  <c r="C235" i="8" s="1"/>
  <c r="D235" i="8" s="1"/>
  <c r="G235" i="8" s="1"/>
  <c r="F235" i="8"/>
  <c r="I235" i="8" s="1"/>
  <c r="F195" i="8"/>
  <c r="I195" i="8" s="1"/>
  <c r="B195" i="8"/>
  <c r="C195" i="8" s="1"/>
  <c r="D195" i="8" s="1"/>
  <c r="G195" i="8" s="1"/>
  <c r="F75" i="8"/>
  <c r="I75" i="8" s="1"/>
  <c r="B75" i="8"/>
  <c r="C75" i="8" s="1"/>
  <c r="D75" i="8" s="1"/>
  <c r="G75" i="8" s="1"/>
  <c r="A156" i="8"/>
  <c r="A76" i="8"/>
  <c r="A216" i="8"/>
  <c r="A96" i="8"/>
  <c r="A196" i="8"/>
  <c r="A236" i="8"/>
  <c r="A176" i="8"/>
  <c r="H18" i="6"/>
  <c r="F19" i="6"/>
  <c r="A56" i="8"/>
  <c r="A116" i="8"/>
  <c r="A36" i="8"/>
  <c r="A136" i="8"/>
  <c r="M18" i="6"/>
  <c r="G18" i="6"/>
  <c r="L18" i="6" s="1"/>
  <c r="A16" i="8"/>
  <c r="B95" i="8"/>
  <c r="C95" i="8" s="1"/>
  <c r="D95" i="8" s="1"/>
  <c r="G95" i="8" s="1"/>
  <c r="F95" i="8"/>
  <c r="H95" i="8" s="1"/>
  <c r="B215" i="8"/>
  <c r="C215" i="8" s="1"/>
  <c r="D215" i="8" s="1"/>
  <c r="G215" i="8" s="1"/>
  <c r="F215" i="8"/>
  <c r="I215" i="8" s="1"/>
  <c r="F35" i="8"/>
  <c r="H35" i="8" s="1"/>
  <c r="B35" i="8"/>
  <c r="C35" i="8" s="1"/>
  <c r="D35" i="8" s="1"/>
  <c r="G35" i="8" s="1"/>
  <c r="F135" i="8"/>
  <c r="H135" i="8" s="1"/>
  <c r="B135" i="8"/>
  <c r="C135" i="8" s="1"/>
  <c r="D135" i="8" s="1"/>
  <c r="G135" i="8" s="1"/>
  <c r="I35" i="8" l="1"/>
  <c r="I95" i="8"/>
  <c r="H175" i="8"/>
  <c r="H235" i="8"/>
  <c r="L19" i="6"/>
  <c r="N18" i="6"/>
  <c r="O18" i="6" s="1"/>
  <c r="M17" i="6"/>
  <c r="N17" i="6" s="1"/>
  <c r="O17" i="6" s="1"/>
  <c r="B56" i="8"/>
  <c r="C56" i="8" s="1"/>
  <c r="D56" i="8" s="1"/>
  <c r="G56" i="8" s="1"/>
  <c r="F56" i="8"/>
  <c r="H56" i="8" s="1"/>
  <c r="I18" i="6"/>
  <c r="J18" i="6" s="1"/>
  <c r="H17" i="6"/>
  <c r="I17" i="6" s="1"/>
  <c r="F176" i="8"/>
  <c r="H176" i="8" s="1"/>
  <c r="B176" i="8"/>
  <c r="C176" i="8" s="1"/>
  <c r="D176" i="8" s="1"/>
  <c r="G176" i="8" s="1"/>
  <c r="F236" i="8"/>
  <c r="I236" i="8" s="1"/>
  <c r="B236" i="8"/>
  <c r="C236" i="8" s="1"/>
  <c r="D236" i="8" s="1"/>
  <c r="G236" i="8" s="1"/>
  <c r="H75" i="8"/>
  <c r="F16" i="8"/>
  <c r="I16" i="8" s="1"/>
  <c r="B16" i="8"/>
  <c r="C16" i="8" s="1"/>
  <c r="D16" i="8" s="1"/>
  <c r="G16" i="8" s="1"/>
  <c r="F136" i="8"/>
  <c r="H136" i="8" s="1"/>
  <c r="B136" i="8"/>
  <c r="C136" i="8" s="1"/>
  <c r="D136" i="8" s="1"/>
  <c r="G136" i="8" s="1"/>
  <c r="F196" i="8"/>
  <c r="I196" i="8" s="1"/>
  <c r="B196" i="8"/>
  <c r="C196" i="8" s="1"/>
  <c r="D196" i="8" s="1"/>
  <c r="G196" i="8" s="1"/>
  <c r="H115" i="8"/>
  <c r="H55" i="8"/>
  <c r="B76" i="8"/>
  <c r="C76" i="8" s="1"/>
  <c r="D76" i="8" s="1"/>
  <c r="G76" i="8" s="1"/>
  <c r="F76" i="8"/>
  <c r="H76" i="8" s="1"/>
  <c r="A97" i="8"/>
  <c r="A37" i="8"/>
  <c r="A157" i="8"/>
  <c r="A197" i="8"/>
  <c r="A237" i="8"/>
  <c r="A177" i="8"/>
  <c r="A137" i="8"/>
  <c r="A57" i="8"/>
  <c r="M19" i="6"/>
  <c r="A117" i="8"/>
  <c r="A217" i="8"/>
  <c r="A17" i="8"/>
  <c r="H19" i="6"/>
  <c r="I19" i="6" s="1"/>
  <c r="J19" i="6" s="1"/>
  <c r="A77" i="8"/>
  <c r="B36" i="8"/>
  <c r="C36" i="8" s="1"/>
  <c r="D36" i="8" s="1"/>
  <c r="G36" i="8" s="1"/>
  <c r="F36" i="8"/>
  <c r="H36" i="8" s="1"/>
  <c r="F156" i="8"/>
  <c r="B156" i="8"/>
  <c r="C156" i="8" s="1"/>
  <c r="D156" i="8" s="1"/>
  <c r="G156" i="8" s="1"/>
  <c r="H195" i="8"/>
  <c r="F96" i="8"/>
  <c r="F97" i="8" s="1"/>
  <c r="B96" i="8"/>
  <c r="C96" i="8" s="1"/>
  <c r="D96" i="8" s="1"/>
  <c r="G96" i="8" s="1"/>
  <c r="I135" i="8"/>
  <c r="H215" i="8"/>
  <c r="F116" i="8"/>
  <c r="B116" i="8"/>
  <c r="C116" i="8" s="1"/>
  <c r="D116" i="8" s="1"/>
  <c r="G116" i="8" s="1"/>
  <c r="B216" i="8"/>
  <c r="C216" i="8" s="1"/>
  <c r="D216" i="8" s="1"/>
  <c r="G216" i="8" s="1"/>
  <c r="F216" i="8"/>
  <c r="H155" i="8"/>
  <c r="I15" i="8"/>
  <c r="I176" i="8" l="1"/>
  <c r="F217" i="8"/>
  <c r="I217" i="8" s="1"/>
  <c r="N19" i="6"/>
  <c r="O19" i="6" s="1"/>
  <c r="F157" i="8"/>
  <c r="I157" i="8" s="1"/>
  <c r="I136" i="8"/>
  <c r="I216" i="8"/>
  <c r="H16" i="8"/>
  <c r="H156" i="8"/>
  <c r="I156" i="8"/>
  <c r="I36" i="8"/>
  <c r="H196" i="8"/>
  <c r="I56" i="8"/>
  <c r="H236" i="8"/>
  <c r="I76" i="8"/>
  <c r="H96" i="8"/>
  <c r="B97" i="8"/>
  <c r="C97" i="8" s="1"/>
  <c r="D97" i="8" s="1"/>
  <c r="G97" i="8" s="1"/>
  <c r="H97" i="8"/>
  <c r="I97" i="8"/>
  <c r="B117" i="8"/>
  <c r="C117" i="8" s="1"/>
  <c r="D117" i="8" s="1"/>
  <c r="G117" i="8" s="1"/>
  <c r="B57" i="8"/>
  <c r="C57" i="8" s="1"/>
  <c r="D57" i="8" s="1"/>
  <c r="G57" i="8" s="1"/>
  <c r="F57" i="8"/>
  <c r="H57" i="8" s="1"/>
  <c r="B137" i="8"/>
  <c r="C137" i="8" s="1"/>
  <c r="D137" i="8" s="1"/>
  <c r="G137" i="8" s="1"/>
  <c r="F137" i="8"/>
  <c r="I137" i="8" s="1"/>
  <c r="B77" i="8"/>
  <c r="C77" i="8" s="1"/>
  <c r="D77" i="8" s="1"/>
  <c r="G77" i="8" s="1"/>
  <c r="B177" i="8"/>
  <c r="C177" i="8" s="1"/>
  <c r="D177" i="8" s="1"/>
  <c r="G177" i="8" s="1"/>
  <c r="F17" i="8"/>
  <c r="I17" i="8" s="1"/>
  <c r="F177" i="8"/>
  <c r="H177" i="8" s="1"/>
  <c r="B37" i="8"/>
  <c r="C37" i="8" s="1"/>
  <c r="D37" i="8" s="1"/>
  <c r="G37" i="8" s="1"/>
  <c r="B237" i="8"/>
  <c r="C237" i="8" s="1"/>
  <c r="D237" i="8" s="1"/>
  <c r="G237" i="8" s="1"/>
  <c r="F237" i="8"/>
  <c r="I237" i="8" s="1"/>
  <c r="H216" i="8"/>
  <c r="F117" i="8"/>
  <c r="H117" i="8" s="1"/>
  <c r="H116" i="8"/>
  <c r="J17" i="6"/>
  <c r="R17" i="6"/>
  <c r="S17" i="6" s="1"/>
  <c r="P17" i="6" s="1"/>
  <c r="R18" i="6"/>
  <c r="S18" i="6" s="1"/>
  <c r="B17" i="8"/>
  <c r="C17" i="8" s="1"/>
  <c r="D17" i="8" s="1"/>
  <c r="G17" i="8" s="1"/>
  <c r="B197" i="8"/>
  <c r="C197" i="8" s="1"/>
  <c r="D197" i="8" s="1"/>
  <c r="G197" i="8" s="1"/>
  <c r="F197" i="8"/>
  <c r="H197" i="8" s="1"/>
  <c r="F77" i="8"/>
  <c r="I77" i="8" s="1"/>
  <c r="I116" i="8"/>
  <c r="I96" i="8"/>
  <c r="F37" i="8"/>
  <c r="H37" i="8" s="1"/>
  <c r="B217" i="8"/>
  <c r="C217" i="8" s="1"/>
  <c r="D217" i="8" s="1"/>
  <c r="G217" i="8" s="1"/>
  <c r="B157" i="8"/>
  <c r="C157" i="8" s="1"/>
  <c r="D157" i="8" s="1"/>
  <c r="G157" i="8" s="1"/>
  <c r="H217" i="8" l="1"/>
  <c r="H157" i="8"/>
  <c r="P18" i="6"/>
  <c r="H137" i="8"/>
  <c r="H17" i="8"/>
  <c r="I117" i="8"/>
  <c r="H237" i="8"/>
  <c r="I177" i="8"/>
  <c r="I57" i="8"/>
  <c r="H77" i="8"/>
  <c r="I37" i="8"/>
  <c r="I197" i="8"/>
</calcChain>
</file>

<file path=xl/sharedStrings.xml><?xml version="1.0" encoding="utf-8"?>
<sst xmlns="http://schemas.openxmlformats.org/spreadsheetml/2006/main" count="1260" uniqueCount="305">
  <si>
    <t>Spettri di risposta</t>
  </si>
  <si>
    <t>progetto</t>
  </si>
  <si>
    <t>Località</t>
  </si>
  <si>
    <t>Piazza Cairoli, Messina</t>
  </si>
  <si>
    <t>SLO</t>
  </si>
  <si>
    <t>SLD</t>
  </si>
  <si>
    <t>SLV</t>
  </si>
  <si>
    <t>SLC</t>
  </si>
  <si>
    <t>Parametri</t>
  </si>
  <si>
    <t>T</t>
  </si>
  <si>
    <t>Pericolosità sismica</t>
  </si>
  <si>
    <t>stato limite</t>
  </si>
  <si>
    <t>h</t>
  </si>
  <si>
    <t>categoria topografica</t>
  </si>
  <si>
    <t>T1</t>
  </si>
  <si>
    <t>posizione</t>
  </si>
  <si>
    <t>suolo</t>
  </si>
  <si>
    <t>C</t>
  </si>
  <si>
    <t>Si ottiene:</t>
  </si>
  <si>
    <t>S</t>
  </si>
  <si>
    <t>SLV/SLO</t>
  </si>
  <si>
    <t>1.5 SLV/SLD</t>
  </si>
  <si>
    <t>fattore di comportamento q</t>
  </si>
  <si>
    <t>Geometria dello schema e masse di piano</t>
  </si>
  <si>
    <t>Piani e quote</t>
  </si>
  <si>
    <t>numero impalcati</t>
  </si>
  <si>
    <t>quota [m]</t>
  </si>
  <si>
    <t>impalcato</t>
  </si>
  <si>
    <t>m</t>
  </si>
  <si>
    <t>peso [kN]</t>
  </si>
  <si>
    <t>W</t>
  </si>
  <si>
    <t>A</t>
  </si>
  <si>
    <t>W/A</t>
  </si>
  <si>
    <t>Forze per analisi statica</t>
  </si>
  <si>
    <t>Parametri scelti</t>
  </si>
  <si>
    <t>classe duttilità CD</t>
  </si>
  <si>
    <t>regolare in pianta</t>
  </si>
  <si>
    <t>si</t>
  </si>
  <si>
    <t>regolare in altezza</t>
  </si>
  <si>
    <t>per limitare danno strutturale</t>
  </si>
  <si>
    <t>q</t>
  </si>
  <si>
    <t>periodo proprio x</t>
  </si>
  <si>
    <t>periodo proprio y</t>
  </si>
  <si>
    <t>s</t>
  </si>
  <si>
    <t>H</t>
  </si>
  <si>
    <t>ordinate spettrali</t>
  </si>
  <si>
    <t>per SLV</t>
  </si>
  <si>
    <t>g</t>
  </si>
  <si>
    <t>per SLD</t>
  </si>
  <si>
    <t>Forze orizzontali</t>
  </si>
  <si>
    <t>piano</t>
  </si>
  <si>
    <t>z</t>
  </si>
  <si>
    <t>[kN]</t>
  </si>
  <si>
    <t>[m]</t>
  </si>
  <si>
    <t>[kN m]</t>
  </si>
  <si>
    <t>Somma</t>
  </si>
  <si>
    <t>kN</t>
  </si>
  <si>
    <t xml:space="preserve">   Il foglio è predisposto per un massimo di 8 impalcati</t>
  </si>
  <si>
    <t xml:space="preserve">   Nel modello di calcolo l'incastro sarà all'estradosso della fondazione o all'estradosso del primo impalcato, se vi sono pareti che lo bloccano</t>
  </si>
  <si>
    <t xml:space="preserve">   Vengono automaticamente determinate le forze, nelle due direzioni</t>
  </si>
  <si>
    <t>Sisma in direzione x</t>
  </si>
  <si>
    <t>Sisma in direzione y</t>
  </si>
  <si>
    <t>Caratteristiche della sollecitazione</t>
  </si>
  <si>
    <t>Si fa riferimento ad un numero di pilastri equivalenti</t>
  </si>
  <si>
    <t xml:space="preserve">Questo numero è  </t>
  </si>
  <si>
    <t>stima secondo normativa 2008</t>
  </si>
  <si>
    <t>Risoluzione dello schema base, traslante</t>
  </si>
  <si>
    <t>V [kN]</t>
  </si>
  <si>
    <t>h [m]</t>
  </si>
  <si>
    <t>h piano [m]</t>
  </si>
  <si>
    <t>(*) le quote indicate sono quelle dell'estradosso di ciascun solaio misurate rispetto all'estradosso della fondazione</t>
  </si>
  <si>
    <t>(*)</t>
  </si>
  <si>
    <t>(**)</t>
  </si>
  <si>
    <t>quota</t>
  </si>
  <si>
    <t>modello [m]</t>
  </si>
  <si>
    <t xml:space="preserve">   ma da assegnare separatamente in direzione x e in direzione y</t>
  </si>
  <si>
    <t>pilastro con 2 travi emergenti</t>
  </si>
  <si>
    <t>in testa pil.inf.</t>
  </si>
  <si>
    <t xml:space="preserve">n. pilastri eq </t>
  </si>
  <si>
    <t>riduz.</t>
  </si>
  <si>
    <t>pilastro con 1 trave emergente</t>
  </si>
  <si>
    <t>trave</t>
  </si>
  <si>
    <t>luce min.</t>
  </si>
  <si>
    <t>distanza asse trave modello - estradosso impalcato</t>
  </si>
  <si>
    <t>m   (***)</t>
  </si>
  <si>
    <t>(***) l'asse di travi emergenti e travi a spessore è in realtà diverso, ma considero un asse unico</t>
  </si>
  <si>
    <t xml:space="preserve">           suggerisco di usare l'asse del solaio e indicare quindi metà dello spessore del solaio</t>
  </si>
  <si>
    <t>si sceglie per dir.x</t>
  </si>
  <si>
    <t>si sceglie per dir.y</t>
  </si>
  <si>
    <t>taglio alla base</t>
  </si>
  <si>
    <t>Cosa fare dei numeri qui riportati</t>
  </si>
  <si>
    <t>I valori evidenziati in verde dovranno essere confrontati con i risultati forniti dal telaio spaziale (nel quale sono applicate le forze mostrate in Forze)</t>
  </si>
  <si>
    <t xml:space="preserve">   I valori dovranno sostanzialmente corrispondere ai massimi valori ottenuti dal calcolo</t>
  </si>
  <si>
    <t>I valori evidenziati in verde per i momenti flettenti delle travi devono essere usati per dimensionare le travi. In particolare devono:</t>
  </si>
  <si>
    <t xml:space="preserve">   essere incrementati con un moltiplicatore compreso tra 1 e 1.2 in funzione della distanza del telaio cui appartiene la trave in esame</t>
  </si>
  <si>
    <t xml:space="preserve">   sommati al momento flettente previsto (in presenza di sisma) per la campata di trave in esame</t>
  </si>
  <si>
    <t xml:space="preserve">   I pilastri devono essere verificati per questo momento flettente e per lo sforzo normale stimato per carichi verticali (in presenza di sisma)</t>
  </si>
  <si>
    <t xml:space="preserve">   la somma deve essere ridotta di un 10-20% come spuntatura per avere un valore a filo pilastro; questo valore è usato per dimensionare la trave</t>
  </si>
  <si>
    <t>I valori in rosso dei momenti flettenti nei pilastri con 2 travi emergenti devono essere usati per dimensionare questa tipologia di pilastri</t>
  </si>
  <si>
    <t>I valori usati per il dimensionamento dovranno essere confrontati con l'inviluppo dei risultati forniti dal telaio spaziale per le varie condizioni di carico, con gli incrementi per progettazione in capacità</t>
  </si>
  <si>
    <t xml:space="preserve">   Occorre indicare solo la scelta della classe di duttilità, il periodo proprio e il fattore di comportamento (distinti per le due direzioni)</t>
  </si>
  <si>
    <t xml:space="preserve">   Occorre indicare il numro di pilastri che si considerano (uguali o diversi da piano a piano)</t>
  </si>
  <si>
    <t xml:space="preserve">   Occorre indicare alcuni dati ulteriori</t>
  </si>
  <si>
    <t xml:space="preserve">   Vengono automaticamente determinate le caratteristiche della sollecitazione, nelle due direzioni</t>
  </si>
  <si>
    <t>campata</t>
  </si>
  <si>
    <t xml:space="preserve">appartiene a un telaio in direzione   </t>
  </si>
  <si>
    <t xml:space="preserve">questo telaio è   </t>
  </si>
  <si>
    <t xml:space="preserve">pilastri alle estremità della campata   </t>
  </si>
  <si>
    <t xml:space="preserve">moltiplicatore   </t>
  </si>
  <si>
    <t xml:space="preserve">trave   </t>
  </si>
  <si>
    <t xml:space="preserve">lunghezza della campata   </t>
  </si>
  <si>
    <t>kNm</t>
  </si>
  <si>
    <t xml:space="preserve">momento flettente da carichi verticali, in presenza di sisma   </t>
  </si>
  <si>
    <t xml:space="preserve">riduzione a filo pilastro   </t>
  </si>
  <si>
    <t>val.base</t>
  </si>
  <si>
    <t>in asse</t>
  </si>
  <si>
    <t>a filo</t>
  </si>
  <si>
    <t>dimensionare la trave per questo momento flettente</t>
  </si>
  <si>
    <t>pilastro</t>
  </si>
  <si>
    <t xml:space="preserve">come appartenente a un telaio in direzione   </t>
  </si>
  <si>
    <t xml:space="preserve">travi adiacenti al pilastro, nella direzione considerata </t>
  </si>
  <si>
    <r>
      <t>per M</t>
    </r>
    <r>
      <rPr>
        <sz val="8"/>
        <color theme="1"/>
        <rFont val="Arial"/>
        <family val="2"/>
      </rPr>
      <t>s</t>
    </r>
  </si>
  <si>
    <r>
      <t>per M</t>
    </r>
    <r>
      <rPr>
        <sz val="8"/>
        <color theme="1"/>
        <rFont val="Arial"/>
        <family val="2"/>
      </rPr>
      <t>q</t>
    </r>
  </si>
  <si>
    <r>
      <t>M</t>
    </r>
    <r>
      <rPr>
        <vertAlign val="superscript"/>
        <sz val="10"/>
        <color theme="1"/>
        <rFont val="Arial"/>
        <family val="2"/>
      </rPr>
      <t>-</t>
    </r>
    <r>
      <rPr>
        <sz val="10"/>
        <color theme="1"/>
        <rFont val="Arial"/>
        <family val="2"/>
      </rPr>
      <t xml:space="preserve"> max [kNm]</t>
    </r>
  </si>
  <si>
    <r>
      <t>M</t>
    </r>
    <r>
      <rPr>
        <vertAlign val="superscript"/>
        <sz val="10"/>
        <color theme="1"/>
        <rFont val="Arial"/>
        <family val="2"/>
      </rPr>
      <t>+</t>
    </r>
    <r>
      <rPr>
        <sz val="10"/>
        <color theme="1"/>
        <rFont val="Arial"/>
        <family val="2"/>
      </rPr>
      <t xml:space="preserve"> max [kNm]</t>
    </r>
  </si>
  <si>
    <r>
      <t>M</t>
    </r>
    <r>
      <rPr>
        <sz val="8"/>
        <color theme="1"/>
        <rFont val="Arial"/>
        <family val="2"/>
      </rPr>
      <t>q</t>
    </r>
    <r>
      <rPr>
        <sz val="10"/>
        <color theme="1"/>
        <rFont val="Arial"/>
        <family val="2"/>
      </rPr>
      <t xml:space="preserve"> = </t>
    </r>
  </si>
  <si>
    <r>
      <t>M</t>
    </r>
    <r>
      <rPr>
        <sz val="8"/>
        <color theme="1"/>
        <rFont val="Arial"/>
        <family val="2"/>
      </rPr>
      <t>s</t>
    </r>
    <r>
      <rPr>
        <sz val="10"/>
        <color theme="1"/>
        <rFont val="Arial"/>
        <family val="2"/>
      </rPr>
      <t xml:space="preserve"> [kNm]</t>
    </r>
  </si>
  <si>
    <r>
      <t>M</t>
    </r>
    <r>
      <rPr>
        <sz val="8"/>
        <color theme="1"/>
        <rFont val="Arial"/>
        <family val="2"/>
      </rPr>
      <t>q</t>
    </r>
    <r>
      <rPr>
        <sz val="10"/>
        <color theme="1"/>
        <rFont val="Arial"/>
        <family val="2"/>
      </rPr>
      <t xml:space="preserve"> [kNm]</t>
    </r>
  </si>
  <si>
    <r>
      <t>N</t>
    </r>
    <r>
      <rPr>
        <sz val="8"/>
        <color theme="1"/>
        <rFont val="Arial"/>
        <family val="2"/>
      </rPr>
      <t>q</t>
    </r>
    <r>
      <rPr>
        <sz val="10"/>
        <color theme="1"/>
        <rFont val="Arial"/>
        <family val="2"/>
      </rPr>
      <t xml:space="preserve"> [kN]</t>
    </r>
  </si>
  <si>
    <r>
      <rPr>
        <sz val="10"/>
        <color theme="1"/>
        <rFont val="Symbol"/>
        <family val="1"/>
        <charset val="2"/>
      </rPr>
      <t>D</t>
    </r>
    <r>
      <rPr>
        <sz val="10"/>
        <color theme="1"/>
        <rFont val="Arial"/>
        <family val="2"/>
      </rPr>
      <t>N</t>
    </r>
    <r>
      <rPr>
        <sz val="8"/>
        <color theme="1"/>
        <rFont val="Arial"/>
        <family val="2"/>
      </rPr>
      <t>s</t>
    </r>
    <r>
      <rPr>
        <sz val="10"/>
        <color theme="1"/>
        <rFont val="Arial"/>
        <family val="2"/>
      </rPr>
      <t xml:space="preserve"> [kN]</t>
    </r>
  </si>
  <si>
    <t>M [kNm]</t>
  </si>
  <si>
    <r>
      <t>N</t>
    </r>
    <r>
      <rPr>
        <sz val="8"/>
        <color theme="1"/>
        <rFont val="Arial"/>
        <family val="2"/>
      </rPr>
      <t>max</t>
    </r>
    <r>
      <rPr>
        <sz val="10"/>
        <color theme="1"/>
        <rFont val="Arial"/>
        <family val="2"/>
      </rPr>
      <t xml:space="preserve"> [kN]</t>
    </r>
  </si>
  <si>
    <r>
      <t>N</t>
    </r>
    <r>
      <rPr>
        <sz val="8"/>
        <color theme="1"/>
        <rFont val="Arial"/>
        <family val="2"/>
      </rPr>
      <t>min</t>
    </r>
    <r>
      <rPr>
        <sz val="10"/>
        <color theme="1"/>
        <rFont val="Arial"/>
        <family val="2"/>
      </rPr>
      <t xml:space="preserve"> [kN]</t>
    </r>
  </si>
  <si>
    <r>
      <t xml:space="preserve">--   </t>
    </r>
    <r>
      <rPr>
        <sz val="10"/>
        <color rgb="FF0000FF"/>
        <rFont val="Symbol"/>
        <family val="1"/>
        <charset val="2"/>
      </rPr>
      <t>­</t>
    </r>
  </si>
  <si>
    <t>dimensionare il pilastro per questi M ed N</t>
  </si>
  <si>
    <t>modello</t>
  </si>
  <si>
    <t>Riepilogo sezioni scelte</t>
  </si>
  <si>
    <t>Ho previsto 4 tipi di sezione a ciascun piano, sia per travi che per pilastri.</t>
  </si>
  <si>
    <t>TRAVI</t>
  </si>
  <si>
    <t>PILASTRI</t>
  </si>
  <si>
    <t xml:space="preserve">   Per ogni trave o pilastro è usato un blocco di 20 righe. Duplicare i blocchi per esamiare quante aste si vuole</t>
  </si>
  <si>
    <t xml:space="preserve">   Indicare le sezioni prescelte per travi e pilastri</t>
  </si>
  <si>
    <t>Riportare qui le sezioni che si è deciso di usare per travi e pilastri.</t>
  </si>
  <si>
    <t xml:space="preserve">   Occorre indicare se lo spostamento del primo impalcato è impedito da pareti in c.a. che lo collegano alla fondazione, oppure è con isolamento alla base</t>
  </si>
  <si>
    <t>da normativa, si può usare q =</t>
  </si>
  <si>
    <t>base fissa</t>
  </si>
  <si>
    <t xml:space="preserve">smorzamento struttura </t>
  </si>
  <si>
    <t>allo SLD è opportuno usare q =</t>
  </si>
  <si>
    <t>Questo foglio di calcolo vuole essere di aiuto per controllare il calcolo delle forze e delle caratteristiche di sollecitazione per strutture a base fissa o isolate alla base</t>
  </si>
  <si>
    <t>struttura</t>
  </si>
  <si>
    <t>Per completezza, sono qui riportati anche gli spettri elastici con periodo proprio fino a 10 s</t>
  </si>
  <si>
    <t>Fo</t>
  </si>
  <si>
    <t>spazio per eventuali annotazioni</t>
  </si>
  <si>
    <t xml:space="preserve">riduzione a filo trave   </t>
  </si>
  <si>
    <t>AG</t>
  </si>
  <si>
    <t>rev. 3.2</t>
  </si>
  <si>
    <t>intestazioni</t>
  </si>
  <si>
    <t>pallini per grafico, elastico</t>
  </si>
  <si>
    <t>[g]</t>
  </si>
  <si>
    <t>[mm]</t>
  </si>
  <si>
    <t>vert</t>
  </si>
  <si>
    <t>classe uso</t>
  </si>
  <si>
    <t>II</t>
  </si>
  <si>
    <t>pallini per grafico, progetto</t>
  </si>
  <si>
    <t>Nota: gli estremi superiori delle ordinate sono fissati</t>
  </si>
  <si>
    <t>Se si vogliono modificare, intervenire su formato assi</t>
  </si>
  <si>
    <t>Per calcolare i valori al variare della classe d'uso</t>
  </si>
  <si>
    <t>rapp</t>
  </si>
  <si>
    <r>
      <t>T</t>
    </r>
    <r>
      <rPr>
        <vertAlign val="subscript"/>
        <sz val="12"/>
        <color theme="0" tint="-0.499984740745262"/>
        <rFont val="Calibri"/>
        <family val="2"/>
        <scheme val="minor"/>
      </rPr>
      <t>C</t>
    </r>
    <r>
      <rPr>
        <sz val="12"/>
        <color theme="0" tint="-0.499984740745262"/>
        <rFont val="Calibri"/>
        <family val="2"/>
        <scheme val="minor"/>
      </rPr>
      <t>*</t>
    </r>
  </si>
  <si>
    <t>x</t>
  </si>
  <si>
    <t>®</t>
  </si>
  <si>
    <t>T 3 s</t>
  </si>
  <si>
    <t>no</t>
  </si>
  <si>
    <t>Indicazioni generali:</t>
  </si>
  <si>
    <t xml:space="preserve">   Tutti i fogli sono protetti, ma senza password. I valori vanno inseriti nelle caselle a sfondo giallo. Le caselle a sfondo verde mettono in evidenza i valori più significativi</t>
  </si>
  <si>
    <t xml:space="preserve">   E' possibile togliere la protezione per effettuare modifiche, ma si suggerisce di rimetterla per evitare il rischio di rovinarne la funzionalità nell'inserire i dati</t>
  </si>
  <si>
    <t>Vedi Nota 1</t>
  </si>
  <si>
    <t>Nota 1</t>
  </si>
  <si>
    <t>L'edificio può essere:</t>
  </si>
  <si>
    <t>Vedi Nota 2</t>
  </si>
  <si>
    <t>Nota 2</t>
  </si>
  <si>
    <t>primo ordine con pareti che formano una scatola rigida?</t>
  </si>
  <si>
    <t>Nel modello strutturale l'asse ideale delle travi può essere:</t>
  </si>
  <si>
    <t xml:space="preserve">   Ho ipotizzato che la linea d'asse delle travi nel modello di calcolo possa essere al di sotto dell'estradosso dell'impalcato, di una quantità da indicare (unica per tutti gli impalcati)</t>
  </si>
  <si>
    <r>
      <t>q</t>
    </r>
    <r>
      <rPr>
        <vertAlign val="subscript"/>
        <sz val="12"/>
        <color theme="1"/>
        <rFont val="Calibri"/>
        <family val="2"/>
        <scheme val="minor"/>
      </rPr>
      <t>0</t>
    </r>
  </si>
  <si>
    <r>
      <t>K</t>
    </r>
    <r>
      <rPr>
        <vertAlign val="subscript"/>
        <sz val="12"/>
        <rFont val="Calibri"/>
        <family val="2"/>
        <scheme val="minor"/>
      </rPr>
      <t>R</t>
    </r>
  </si>
  <si>
    <r>
      <t>S</t>
    </r>
    <r>
      <rPr>
        <vertAlign val="subscript"/>
        <sz val="12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>(T</t>
    </r>
    <r>
      <rPr>
        <vertAlign val="subscript"/>
        <sz val="12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>) =</t>
    </r>
  </si>
  <si>
    <r>
      <t>S</t>
    </r>
    <r>
      <rPr>
        <vertAlign val="subscript"/>
        <sz val="12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>(T</t>
    </r>
    <r>
      <rPr>
        <vertAlign val="subscript"/>
        <sz val="12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>) =</t>
    </r>
  </si>
  <si>
    <r>
      <t>V</t>
    </r>
    <r>
      <rPr>
        <vertAlign val="subscript"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 =</t>
    </r>
  </si>
  <si>
    <r>
      <rPr>
        <sz val="12"/>
        <rFont val="Symbol"/>
        <family val="1"/>
        <charset val="2"/>
      </rPr>
      <t>a</t>
    </r>
    <r>
      <rPr>
        <vertAlign val="subscript"/>
        <sz val="12"/>
        <rFont val="Calibri"/>
        <family val="2"/>
        <scheme val="minor"/>
      </rPr>
      <t>u</t>
    </r>
    <r>
      <rPr>
        <sz val="12"/>
        <rFont val="Calibri"/>
        <family val="2"/>
        <scheme val="minor"/>
      </rPr>
      <t xml:space="preserve"> /</t>
    </r>
    <r>
      <rPr>
        <sz val="12"/>
        <rFont val="Symbol"/>
        <family val="1"/>
        <charset val="2"/>
      </rPr>
      <t>a</t>
    </r>
    <r>
      <rPr>
        <vertAlign val="subscript"/>
        <sz val="12"/>
        <rFont val="Calibri"/>
        <family val="2"/>
        <scheme val="minor"/>
      </rPr>
      <t>1</t>
    </r>
  </si>
  <si>
    <r>
      <t>C</t>
    </r>
    <r>
      <rPr>
        <vertAlign val="subscript"/>
        <sz val="12"/>
        <color theme="1"/>
        <rFont val="Calibri"/>
        <family val="2"/>
        <scheme val="minor"/>
      </rPr>
      <t>1</t>
    </r>
  </si>
  <si>
    <r>
      <t>T</t>
    </r>
    <r>
      <rPr>
        <vertAlign val="subscript"/>
        <sz val="12"/>
        <color theme="1"/>
        <rFont val="Calibri"/>
        <family val="2"/>
        <scheme val="minor"/>
      </rPr>
      <t>1</t>
    </r>
  </si>
  <si>
    <r>
      <t>area [m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]</t>
    </r>
  </si>
  <si>
    <t xml:space="preserve">- a base fissa, con primo impalcato non vincolato da pareti </t>
  </si>
  <si>
    <t xml:space="preserve">- a base fissa, con primo impalcato bloccato da pareti </t>
  </si>
  <si>
    <t>- isolato alla base, con pareti del primo ordine che sostengono gli isolatori</t>
  </si>
  <si>
    <t>- in corrispondenza dell'estradosso del solaio (indicare distanza 0)</t>
  </si>
  <si>
    <t>- in asse al solaio (indicare distanza pari a metà spessore del solaio)</t>
  </si>
  <si>
    <t>- in asse alle travi (indicare una opportuna distanza)</t>
  </si>
  <si>
    <t>I valori in rosso dei momenti flettenti nei pilastri con 1 trave emergente e i valori evidenziati in verde per i DN dei pilastri devono essere usati per dimensionare questa tipologia di pilastri</t>
  </si>
  <si>
    <t xml:space="preserve">   I pilastri devono essere verificati per questo momento flettente e per lo sforzo normale stimato per carichi verticali (in presenza di sisma) + o - il DN</t>
  </si>
  <si>
    <r>
      <t xml:space="preserve">Riempire poi il foglio </t>
    </r>
    <r>
      <rPr>
        <b/>
        <sz val="12"/>
        <color theme="1"/>
        <rFont val="Calibri"/>
        <family val="2"/>
        <scheme val="minor"/>
      </rPr>
      <t>Geom e masse</t>
    </r>
  </si>
  <si>
    <r>
      <t xml:space="preserve">Riempire poi il foglio </t>
    </r>
    <r>
      <rPr>
        <b/>
        <sz val="12"/>
        <color theme="1"/>
        <rFont val="Calibri"/>
        <family val="2"/>
        <scheme val="minor"/>
      </rPr>
      <t>Forze</t>
    </r>
  </si>
  <si>
    <r>
      <t xml:space="preserve">Riempire poi il foglio </t>
    </r>
    <r>
      <rPr>
        <b/>
        <sz val="12"/>
        <color theme="1"/>
        <rFont val="Calibri"/>
        <family val="2"/>
        <scheme val="minor"/>
      </rPr>
      <t>CarSoll</t>
    </r>
  </si>
  <si>
    <r>
      <t xml:space="preserve">I fogli </t>
    </r>
    <r>
      <rPr>
        <b/>
        <sz val="12"/>
        <color theme="1"/>
        <rFont val="Calibri"/>
        <family val="2"/>
        <scheme val="minor"/>
      </rPr>
      <t>Travi</t>
    </r>
    <r>
      <rPr>
        <sz val="12"/>
        <color theme="1"/>
        <rFont val="Calibri"/>
        <family val="2"/>
        <scheme val="minor"/>
      </rPr>
      <t xml:space="preserve"> e </t>
    </r>
    <r>
      <rPr>
        <b/>
        <sz val="12"/>
        <color theme="1"/>
        <rFont val="Calibri"/>
        <family val="2"/>
        <scheme val="minor"/>
      </rPr>
      <t>Pilastri</t>
    </r>
    <r>
      <rPr>
        <sz val="12"/>
        <color theme="1"/>
        <rFont val="Calibri"/>
        <family val="2"/>
        <scheme val="minor"/>
      </rPr>
      <t xml:space="preserve"> possono essere usati per valutare le caratteristiche di sollecitazione complessive per carichi verticali e sisma</t>
    </r>
  </si>
  <si>
    <r>
      <t xml:space="preserve">Riempire infine il foglio </t>
    </r>
    <r>
      <rPr>
        <b/>
        <sz val="12"/>
        <color theme="1"/>
        <rFont val="Calibri"/>
        <family val="2"/>
        <scheme val="minor"/>
      </rPr>
      <t>Riepilogo sezioni</t>
    </r>
  </si>
  <si>
    <r>
      <t xml:space="preserve">   Il foglio utilizza automaticamente le informazioni riportate nel foglio </t>
    </r>
    <r>
      <rPr>
        <b/>
        <sz val="12"/>
        <color theme="1"/>
        <rFont val="Calibri"/>
        <family val="2"/>
        <scheme val="minor"/>
      </rPr>
      <t>Spettri x</t>
    </r>
  </si>
  <si>
    <r>
      <t xml:space="preserve">   I dati relativi al periodo (in direzione y) e al valore del fattore di comportamento q vengono inseriti automaticamente, dai valori dati nel foglio </t>
    </r>
    <r>
      <rPr>
        <b/>
        <sz val="12"/>
        <color theme="1"/>
        <rFont val="Calibri"/>
        <family val="2"/>
        <scheme val="minor"/>
      </rPr>
      <t>Forze</t>
    </r>
  </si>
  <si>
    <r>
      <t xml:space="preserve">   I dati relativi al periodo (in direzione x) e al valore del fattore di comportamento q vengono inseriti automaticamente, dai valori dati nel foglio </t>
    </r>
    <r>
      <rPr>
        <b/>
        <sz val="12"/>
        <color theme="1"/>
        <rFont val="Calibri"/>
        <family val="2"/>
        <scheme val="minor"/>
      </rPr>
      <t>Forze</t>
    </r>
  </si>
  <si>
    <r>
      <t xml:space="preserve">   Anche il riferimento alla tipologia strutturale (edificio a base fissa o isolato alla base) è inserito automaticamente, dai valori dati al foglio </t>
    </r>
    <r>
      <rPr>
        <b/>
        <sz val="12"/>
        <color theme="1"/>
        <rFont val="Calibri"/>
        <family val="2"/>
        <scheme val="minor"/>
      </rPr>
      <t>Geom e masse</t>
    </r>
  </si>
  <si>
    <r>
      <t xml:space="preserve">Riempire prima di tutto il foglio </t>
    </r>
    <r>
      <rPr>
        <b/>
        <sz val="12"/>
        <color theme="1"/>
        <rFont val="Calibri"/>
        <family val="2"/>
        <scheme val="minor"/>
      </rPr>
      <t>Spettri x</t>
    </r>
    <r>
      <rPr>
        <sz val="12"/>
        <color theme="1"/>
        <rFont val="Calibri"/>
        <family val="2"/>
        <scheme val="minor"/>
      </rPr>
      <t xml:space="preserve"> che mostra gli spettri di risposta per sisma x</t>
    </r>
  </si>
  <si>
    <r>
      <t xml:space="preserve">Il foglio </t>
    </r>
    <r>
      <rPr>
        <b/>
        <sz val="12"/>
        <color theme="1"/>
        <rFont val="Calibri"/>
        <family val="2"/>
        <scheme val="minor"/>
      </rPr>
      <t>Spettri  y</t>
    </r>
    <r>
      <rPr>
        <sz val="12"/>
        <color theme="1"/>
        <rFont val="Calibri"/>
        <family val="2"/>
        <scheme val="minor"/>
      </rPr>
      <t xml:space="preserve"> mostra gli spettri di risposta per sisma y</t>
    </r>
  </si>
  <si>
    <r>
      <t xml:space="preserve">   Indicare il sito, i dati di pericolosità, i dati relativi al terreno e alla categoria topografica (se avete già usato il foglio </t>
    </r>
    <r>
      <rPr>
        <b/>
        <sz val="12"/>
        <color theme="1"/>
        <rFont val="Calibri"/>
        <family val="2"/>
        <scheme val="minor"/>
      </rPr>
      <t>Spettri</t>
    </r>
    <r>
      <rPr>
        <sz val="12"/>
        <color theme="1"/>
        <rFont val="Calibri"/>
        <family val="2"/>
        <scheme val="minor"/>
      </rPr>
      <t xml:space="preserve"> ricopiate quei valori)</t>
    </r>
  </si>
  <si>
    <t>h iso</t>
  </si>
  <si>
    <r>
      <t>T</t>
    </r>
    <r>
      <rPr>
        <vertAlign val="subscript"/>
        <sz val="12"/>
        <color theme="0" tint="-0.499984740745262"/>
        <rFont val="Calibri"/>
        <family val="2"/>
        <scheme val="minor"/>
      </rPr>
      <t>r</t>
    </r>
  </si>
  <si>
    <r>
      <t>a</t>
    </r>
    <r>
      <rPr>
        <vertAlign val="subscript"/>
        <sz val="12"/>
        <color theme="0" tint="-0.499984740745262"/>
        <rFont val="Calibri"/>
        <family val="2"/>
        <scheme val="minor"/>
      </rPr>
      <t>g</t>
    </r>
  </si>
  <si>
    <r>
      <t>F</t>
    </r>
    <r>
      <rPr>
        <vertAlign val="subscript"/>
        <sz val="12"/>
        <color theme="0" tint="-0.499984740745262"/>
        <rFont val="Calibri"/>
        <family val="2"/>
        <scheme val="minor"/>
      </rPr>
      <t>o</t>
    </r>
  </si>
  <si>
    <r>
      <t>S a</t>
    </r>
    <r>
      <rPr>
        <vertAlign val="subscript"/>
        <sz val="12"/>
        <color theme="0" tint="-0.499984740745262"/>
        <rFont val="Calibri"/>
        <family val="2"/>
        <scheme val="minor"/>
      </rPr>
      <t>g</t>
    </r>
  </si>
  <si>
    <r>
      <t>S</t>
    </r>
    <r>
      <rPr>
        <vertAlign val="subscript"/>
        <sz val="12"/>
        <color theme="0" tint="-0.499984740745262"/>
        <rFont val="Calibri"/>
        <family val="2"/>
        <scheme val="minor"/>
      </rPr>
      <t>1</t>
    </r>
  </si>
  <si>
    <r>
      <t>S</t>
    </r>
    <r>
      <rPr>
        <vertAlign val="subscript"/>
        <sz val="12"/>
        <color theme="0" tint="-0.499984740745262"/>
        <rFont val="Calibri"/>
        <family val="2"/>
        <scheme val="minor"/>
      </rPr>
      <t>2</t>
    </r>
  </si>
  <si>
    <r>
      <t>S</t>
    </r>
    <r>
      <rPr>
        <vertAlign val="subscript"/>
        <sz val="12"/>
        <color theme="0" tint="-0.499984740745262"/>
        <rFont val="Calibri"/>
        <family val="2"/>
        <scheme val="minor"/>
      </rPr>
      <t>min</t>
    </r>
  </si>
  <si>
    <r>
      <t>S</t>
    </r>
    <r>
      <rPr>
        <vertAlign val="subscript"/>
        <sz val="12"/>
        <color theme="0" tint="-0.499984740745262"/>
        <rFont val="Calibri"/>
        <family val="2"/>
        <scheme val="minor"/>
      </rPr>
      <t>max</t>
    </r>
  </si>
  <si>
    <r>
      <t>T</t>
    </r>
    <r>
      <rPr>
        <vertAlign val="subscript"/>
        <sz val="12"/>
        <color theme="0" tint="-0.499984740745262"/>
        <rFont val="Calibri"/>
        <family val="2"/>
        <scheme val="minor"/>
      </rPr>
      <t>B</t>
    </r>
  </si>
  <si>
    <r>
      <t>per S</t>
    </r>
    <r>
      <rPr>
        <vertAlign val="subscript"/>
        <sz val="12"/>
        <color theme="0" tint="-0.499984740745262"/>
        <rFont val="Calibri"/>
        <family val="2"/>
        <scheme val="minor"/>
      </rPr>
      <t>S</t>
    </r>
  </si>
  <si>
    <r>
      <t>T</t>
    </r>
    <r>
      <rPr>
        <vertAlign val="subscript"/>
        <sz val="12"/>
        <color theme="0" tint="-0.499984740745262"/>
        <rFont val="Calibri"/>
        <family val="2"/>
        <scheme val="minor"/>
      </rPr>
      <t>C</t>
    </r>
  </si>
  <si>
    <r>
      <t>C</t>
    </r>
    <r>
      <rPr>
        <vertAlign val="subscript"/>
        <sz val="12"/>
        <color theme="0" tint="-0.499984740745262"/>
        <rFont val="Calibri"/>
        <family val="2"/>
        <scheme val="minor"/>
      </rPr>
      <t>1</t>
    </r>
  </si>
  <si>
    <r>
      <t>C</t>
    </r>
    <r>
      <rPr>
        <vertAlign val="subscript"/>
        <sz val="12"/>
        <color theme="0" tint="-0.499984740745262"/>
        <rFont val="Calibri"/>
        <family val="2"/>
        <scheme val="minor"/>
      </rPr>
      <t>esp</t>
    </r>
  </si>
  <si>
    <r>
      <t>T</t>
    </r>
    <r>
      <rPr>
        <vertAlign val="subscript"/>
        <sz val="12"/>
        <color theme="0" tint="-0.499984740745262"/>
        <rFont val="Calibri"/>
        <family val="2"/>
        <scheme val="minor"/>
      </rPr>
      <t>D</t>
    </r>
  </si>
  <si>
    <r>
      <t>per C</t>
    </r>
    <r>
      <rPr>
        <vertAlign val="subscript"/>
        <sz val="12"/>
        <color theme="0" tint="-0.499984740745262"/>
        <rFont val="Calibri"/>
        <family val="2"/>
        <scheme val="minor"/>
      </rPr>
      <t>C</t>
    </r>
  </si>
  <si>
    <r>
      <t>T</t>
    </r>
    <r>
      <rPr>
        <vertAlign val="subscript"/>
        <sz val="12"/>
        <color theme="0" tint="-0.499984740745262"/>
        <rFont val="Calibri"/>
        <family val="2"/>
        <scheme val="minor"/>
      </rPr>
      <t>E</t>
    </r>
  </si>
  <si>
    <r>
      <t>T</t>
    </r>
    <r>
      <rPr>
        <vertAlign val="subscript"/>
        <sz val="12"/>
        <rFont val="Calibri"/>
        <family val="2"/>
        <scheme val="minor"/>
      </rPr>
      <t>r</t>
    </r>
  </si>
  <si>
    <r>
      <t>a</t>
    </r>
    <r>
      <rPr>
        <vertAlign val="subscript"/>
        <sz val="12"/>
        <rFont val="Calibri"/>
        <family val="2"/>
        <scheme val="minor"/>
      </rPr>
      <t>g</t>
    </r>
  </si>
  <si>
    <r>
      <t>F</t>
    </r>
    <r>
      <rPr>
        <vertAlign val="subscript"/>
        <sz val="12"/>
        <rFont val="Calibri"/>
        <family val="2"/>
        <scheme val="minor"/>
      </rPr>
      <t>o</t>
    </r>
  </si>
  <si>
    <r>
      <t>T</t>
    </r>
    <r>
      <rPr>
        <vertAlign val="subscript"/>
        <sz val="12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>*</t>
    </r>
  </si>
  <si>
    <r>
      <t>T</t>
    </r>
    <r>
      <rPr>
        <vertAlign val="subscript"/>
        <sz val="12"/>
        <color theme="0"/>
        <rFont val="Calibri"/>
        <family val="2"/>
        <scheme val="minor"/>
      </rPr>
      <t>r</t>
    </r>
  </si>
  <si>
    <r>
      <t>a</t>
    </r>
    <r>
      <rPr>
        <vertAlign val="subscript"/>
        <sz val="12"/>
        <color theme="0"/>
        <rFont val="Calibri"/>
        <family val="2"/>
        <scheme val="minor"/>
      </rPr>
      <t>g</t>
    </r>
  </si>
  <si>
    <r>
      <t>F</t>
    </r>
    <r>
      <rPr>
        <vertAlign val="subscript"/>
        <sz val="12"/>
        <color theme="0"/>
        <rFont val="Calibri"/>
        <family val="2"/>
        <scheme val="minor"/>
      </rPr>
      <t>o</t>
    </r>
  </si>
  <si>
    <r>
      <t>T</t>
    </r>
    <r>
      <rPr>
        <vertAlign val="subscript"/>
        <sz val="12"/>
        <color theme="0"/>
        <rFont val="Calibri"/>
        <family val="2"/>
        <scheme val="minor"/>
      </rPr>
      <t>C</t>
    </r>
    <r>
      <rPr>
        <sz val="12"/>
        <color theme="0"/>
        <rFont val="Calibri"/>
        <family val="2"/>
        <scheme val="minor"/>
      </rPr>
      <t>*</t>
    </r>
  </si>
  <si>
    <r>
      <t>S</t>
    </r>
    <r>
      <rPr>
        <vertAlign val="subscript"/>
        <sz val="12"/>
        <color theme="0" tint="-0.499984740745262"/>
        <rFont val="Calibri"/>
        <family val="2"/>
        <scheme val="minor"/>
      </rPr>
      <t>e</t>
    </r>
    <r>
      <rPr>
        <sz val="12"/>
        <color theme="0" tint="-0.499984740745262"/>
        <rFont val="Calibri"/>
        <family val="2"/>
        <scheme val="minor"/>
      </rPr>
      <t>(T</t>
    </r>
    <r>
      <rPr>
        <vertAlign val="subscript"/>
        <sz val="12"/>
        <color theme="0" tint="-0.499984740745262"/>
        <rFont val="Calibri"/>
        <family val="2"/>
        <scheme val="minor"/>
      </rPr>
      <t>C</t>
    </r>
    <r>
      <rPr>
        <sz val="12"/>
        <color theme="0" tint="-0.499984740745262"/>
        <rFont val="Calibri"/>
        <family val="2"/>
        <scheme val="minor"/>
      </rPr>
      <t>)</t>
    </r>
  </si>
  <si>
    <r>
      <t>T</t>
    </r>
    <r>
      <rPr>
        <vertAlign val="subscript"/>
        <sz val="12"/>
        <color theme="0" tint="-0.499984740745262"/>
        <rFont val="Calibri"/>
        <family val="2"/>
        <scheme val="minor"/>
      </rPr>
      <t xml:space="preserve"> fix-iso</t>
    </r>
  </si>
  <si>
    <r>
      <t>C</t>
    </r>
    <r>
      <rPr>
        <vertAlign val="subscript"/>
        <sz val="12"/>
        <color theme="1"/>
        <rFont val="Calibri"/>
        <family val="2"/>
        <scheme val="minor"/>
      </rPr>
      <t>U</t>
    </r>
  </si>
  <si>
    <r>
      <t>T</t>
    </r>
    <r>
      <rPr>
        <vertAlign val="subscript"/>
        <sz val="12"/>
        <color theme="0" tint="-0.499984740745262"/>
        <rFont val="Calibri"/>
        <family val="2"/>
        <scheme val="minor"/>
      </rPr>
      <t>1</t>
    </r>
  </si>
  <si>
    <r>
      <t>S</t>
    </r>
    <r>
      <rPr>
        <vertAlign val="subscript"/>
        <sz val="12"/>
        <color theme="0" tint="-0.499984740745262"/>
        <rFont val="Calibri"/>
        <family val="2"/>
        <scheme val="minor"/>
      </rPr>
      <t>e</t>
    </r>
  </si>
  <si>
    <r>
      <t>S</t>
    </r>
    <r>
      <rPr>
        <vertAlign val="subscript"/>
        <sz val="12"/>
        <color theme="0" tint="-0.499984740745262"/>
        <rFont val="Calibri"/>
        <family val="2"/>
        <scheme val="minor"/>
      </rPr>
      <t>d</t>
    </r>
  </si>
  <si>
    <r>
      <t>S</t>
    </r>
    <r>
      <rPr>
        <vertAlign val="subscript"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>(0)=S</t>
    </r>
    <r>
      <rPr>
        <vertAlign val="subscript"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a</t>
    </r>
    <r>
      <rPr>
        <vertAlign val="subscript"/>
        <sz val="12"/>
        <color theme="1"/>
        <rFont val="Calibri"/>
        <family val="2"/>
        <scheme val="minor"/>
      </rPr>
      <t>g</t>
    </r>
  </si>
  <si>
    <r>
      <t>T</t>
    </r>
    <r>
      <rPr>
        <vertAlign val="subscript"/>
        <sz val="12"/>
        <rFont val="Calibri"/>
        <family val="2"/>
        <scheme val="minor"/>
      </rPr>
      <t>B</t>
    </r>
  </si>
  <si>
    <r>
      <t>T</t>
    </r>
    <r>
      <rPr>
        <vertAlign val="subscript"/>
        <sz val="12"/>
        <rFont val="Calibri"/>
        <family val="2"/>
        <scheme val="minor"/>
      </rPr>
      <t>C</t>
    </r>
  </si>
  <si>
    <r>
      <t>T</t>
    </r>
    <r>
      <rPr>
        <vertAlign val="subscript"/>
        <sz val="12"/>
        <rFont val="Calibri"/>
        <family val="2"/>
        <scheme val="minor"/>
      </rPr>
      <t>D</t>
    </r>
  </si>
  <si>
    <r>
      <t>T</t>
    </r>
    <r>
      <rPr>
        <vertAlign val="subscript"/>
        <sz val="12"/>
        <rFont val="Calibri"/>
        <family val="2"/>
        <scheme val="minor"/>
      </rPr>
      <t>E</t>
    </r>
  </si>
  <si>
    <r>
      <t>S</t>
    </r>
    <r>
      <rPr>
        <vertAlign val="subscript"/>
        <sz val="12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>(T</t>
    </r>
    <r>
      <rPr>
        <vertAlign val="subscript"/>
        <sz val="12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>)</t>
    </r>
  </si>
  <si>
    <r>
      <t>T</t>
    </r>
    <r>
      <rPr>
        <vertAlign val="subscript"/>
        <sz val="12"/>
        <color theme="0" tint="-0.499984740745262"/>
        <rFont val="Calibri"/>
        <family val="2"/>
        <scheme val="minor"/>
      </rPr>
      <t>A</t>
    </r>
  </si>
  <si>
    <r>
      <t>S</t>
    </r>
    <r>
      <rPr>
        <vertAlign val="subscript"/>
        <sz val="12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>(T</t>
    </r>
    <r>
      <rPr>
        <vertAlign val="subscript"/>
        <sz val="12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>)</t>
    </r>
  </si>
  <si>
    <r>
      <t>S</t>
    </r>
    <r>
      <rPr>
        <vertAlign val="subscript"/>
        <sz val="12"/>
        <rFont val="Calibri"/>
        <family val="2"/>
        <scheme val="minor"/>
      </rPr>
      <t>De</t>
    </r>
    <r>
      <rPr>
        <sz val="12"/>
        <color theme="1"/>
        <rFont val="Calibri"/>
        <family val="2"/>
        <scheme val="minor"/>
      </rPr>
      <t>(T</t>
    </r>
    <r>
      <rPr>
        <vertAlign val="subscript"/>
        <sz val="12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>)</t>
    </r>
  </si>
  <si>
    <t>T fix-iso</t>
  </si>
  <si>
    <r>
      <t>S</t>
    </r>
    <r>
      <rPr>
        <vertAlign val="subscript"/>
        <sz val="12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>(T</t>
    </r>
    <r>
      <rPr>
        <vertAlign val="subscript"/>
        <sz val="12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>)</t>
    </r>
  </si>
  <si>
    <r>
      <t>S</t>
    </r>
    <r>
      <rPr>
        <vertAlign val="subscript"/>
        <sz val="12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>(T</t>
    </r>
    <r>
      <rPr>
        <vertAlign val="subscript"/>
        <sz val="12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>)</t>
    </r>
  </si>
  <si>
    <r>
      <t>da tabella pericolosità - curva a</t>
    </r>
    <r>
      <rPr>
        <vertAlign val="subscript"/>
        <sz val="12"/>
        <color theme="0" tint="-0.499984740745262"/>
        <rFont val="Calibri"/>
        <family val="2"/>
        <scheme val="minor"/>
      </rPr>
      <t>g</t>
    </r>
    <r>
      <rPr>
        <sz val="12"/>
        <color theme="0" tint="-0.499984740745262"/>
        <rFont val="Calibri"/>
        <family val="2"/>
        <scheme val="minor"/>
      </rPr>
      <t>-T</t>
    </r>
    <r>
      <rPr>
        <vertAlign val="subscript"/>
        <sz val="12"/>
        <color theme="0" tint="-0.499984740745262"/>
        <rFont val="Calibri"/>
        <family val="2"/>
        <scheme val="minor"/>
      </rPr>
      <t>r</t>
    </r>
  </si>
  <si>
    <r>
      <t>ln T</t>
    </r>
    <r>
      <rPr>
        <vertAlign val="subscript"/>
        <sz val="12"/>
        <color theme="0" tint="-0.499984740745262"/>
        <rFont val="Calibri"/>
        <family val="2"/>
        <scheme val="minor"/>
      </rPr>
      <t>r</t>
    </r>
  </si>
  <si>
    <r>
      <t>ln a</t>
    </r>
    <r>
      <rPr>
        <vertAlign val="subscript"/>
        <sz val="12"/>
        <color theme="0" tint="-0.499984740745262"/>
        <rFont val="Calibri"/>
        <family val="2"/>
        <scheme val="minor"/>
      </rPr>
      <t>g</t>
    </r>
  </si>
  <si>
    <r>
      <t>da tabella pericolosità - valori F</t>
    </r>
    <r>
      <rPr>
        <vertAlign val="subscript"/>
        <sz val="12"/>
        <color theme="0" tint="-0.499984740745262"/>
        <rFont val="Calibri"/>
        <family val="2"/>
        <scheme val="minor"/>
      </rPr>
      <t>o</t>
    </r>
    <r>
      <rPr>
        <sz val="12"/>
        <color theme="0" tint="-0.499984740745262"/>
        <rFont val="Calibri"/>
        <family val="2"/>
        <scheme val="minor"/>
      </rPr>
      <t xml:space="preserve"> e T</t>
    </r>
    <r>
      <rPr>
        <vertAlign val="subscript"/>
        <sz val="12"/>
        <color theme="0" tint="-0.499984740745262"/>
        <rFont val="Calibri"/>
        <family val="2"/>
        <scheme val="minor"/>
      </rPr>
      <t>C</t>
    </r>
    <r>
      <rPr>
        <sz val="12"/>
        <color theme="0" tint="-0.499984740745262"/>
        <rFont val="Calibri"/>
        <family val="2"/>
        <scheme val="minor"/>
      </rPr>
      <t>*</t>
    </r>
  </si>
  <si>
    <r>
      <t>T</t>
    </r>
    <r>
      <rPr>
        <vertAlign val="subscript"/>
        <sz val="12"/>
        <color theme="0" tint="-0.499984740745262"/>
        <rFont val="Calibri"/>
        <family val="2"/>
        <scheme val="minor"/>
      </rPr>
      <t>F</t>
    </r>
  </si>
  <si>
    <r>
      <t>Nota: i capisaldi dei periodi sono T</t>
    </r>
    <r>
      <rPr>
        <vertAlign val="subscript"/>
        <sz val="11"/>
        <color theme="0" tint="-0.499984740745262"/>
        <rFont val="Calibri"/>
        <family val="2"/>
        <scheme val="minor"/>
      </rPr>
      <t>A</t>
    </r>
    <r>
      <rPr>
        <sz val="11"/>
        <color theme="0" tint="-0.499984740745262"/>
        <rFont val="Calibri"/>
        <family val="2"/>
        <scheme val="minor"/>
      </rPr>
      <t>, T</t>
    </r>
    <r>
      <rPr>
        <vertAlign val="subscript"/>
        <sz val="11"/>
        <color theme="0" tint="-0.499984740745262"/>
        <rFont val="Calibri"/>
        <family val="2"/>
        <scheme val="minor"/>
      </rPr>
      <t>B</t>
    </r>
    <r>
      <rPr>
        <sz val="11"/>
        <color theme="0" tint="-0.499984740745262"/>
        <rFont val="Calibri"/>
        <family val="2"/>
        <scheme val="minor"/>
      </rPr>
      <t>, T</t>
    </r>
    <r>
      <rPr>
        <vertAlign val="subscript"/>
        <sz val="11"/>
        <color theme="0" tint="-0.499984740745262"/>
        <rFont val="Calibri"/>
        <family val="2"/>
        <scheme val="minor"/>
      </rPr>
      <t>C</t>
    </r>
    <r>
      <rPr>
        <sz val="11"/>
        <color theme="0" tint="-0.499984740745262"/>
        <rFont val="Calibri"/>
        <family val="2"/>
        <scheme val="minor"/>
      </rPr>
      <t>, T</t>
    </r>
    <r>
      <rPr>
        <vertAlign val="subscript"/>
        <sz val="11"/>
        <color theme="0" tint="-0.499984740745262"/>
        <rFont val="Calibri"/>
        <family val="2"/>
        <scheme val="minor"/>
      </rPr>
      <t>D</t>
    </r>
    <r>
      <rPr>
        <sz val="11"/>
        <color theme="0" tint="-0.499984740745262"/>
        <rFont val="Calibri"/>
        <family val="2"/>
        <scheme val="minor"/>
      </rPr>
      <t>, 3s, T</t>
    </r>
    <r>
      <rPr>
        <vertAlign val="subscript"/>
        <sz val="11"/>
        <color theme="0" tint="-0.499984740745262"/>
        <rFont val="Calibri"/>
        <family val="2"/>
        <scheme val="minor"/>
      </rPr>
      <t>E</t>
    </r>
    <r>
      <rPr>
        <sz val="11"/>
        <color theme="0" tint="-0.499984740745262"/>
        <rFont val="Calibri"/>
        <family val="2"/>
        <scheme val="minor"/>
      </rPr>
      <t>, T</t>
    </r>
    <r>
      <rPr>
        <vertAlign val="subscript"/>
        <sz val="11"/>
        <color theme="0" tint="-0.499984740745262"/>
        <rFont val="Calibri"/>
        <family val="2"/>
        <scheme val="minor"/>
      </rPr>
      <t>F</t>
    </r>
    <r>
      <rPr>
        <sz val="11"/>
        <color theme="0" tint="-0.499984740745262"/>
        <rFont val="Calibri"/>
        <family val="2"/>
        <scheme val="minor"/>
      </rPr>
      <t xml:space="preserve"> ma anche 0.8 T</t>
    </r>
    <r>
      <rPr>
        <vertAlign val="subscript"/>
        <sz val="11"/>
        <color theme="0" tint="-0.499984740745262"/>
        <rFont val="Calibri"/>
        <family val="2"/>
        <scheme val="minor"/>
      </rPr>
      <t>iso</t>
    </r>
    <r>
      <rPr>
        <sz val="11"/>
        <color theme="0" tint="-0.499984740745262"/>
        <rFont val="Calibri"/>
        <family val="2"/>
        <scheme val="minor"/>
      </rPr>
      <t xml:space="preserve"> che può essere tra T</t>
    </r>
    <r>
      <rPr>
        <vertAlign val="subscript"/>
        <sz val="11"/>
        <color theme="0" tint="-0.499984740745262"/>
        <rFont val="Calibri"/>
        <family val="2"/>
        <scheme val="minor"/>
      </rPr>
      <t>C</t>
    </r>
    <r>
      <rPr>
        <sz val="11"/>
        <color theme="0" tint="-0.499984740745262"/>
        <rFont val="Calibri"/>
        <family val="2"/>
        <scheme val="minor"/>
      </rPr>
      <t>-T</t>
    </r>
    <r>
      <rPr>
        <vertAlign val="subscript"/>
        <sz val="11"/>
        <color theme="0" tint="-0.499984740745262"/>
        <rFont val="Calibri"/>
        <family val="2"/>
        <scheme val="minor"/>
      </rPr>
      <t>D</t>
    </r>
    <r>
      <rPr>
        <sz val="11"/>
        <color theme="0" tint="-0.499984740745262"/>
        <rFont val="Calibri"/>
        <family val="2"/>
        <scheme val="minor"/>
      </rPr>
      <t xml:space="preserve"> o tra T</t>
    </r>
    <r>
      <rPr>
        <vertAlign val="subscript"/>
        <sz val="11"/>
        <color theme="0" tint="-0.499984740745262"/>
        <rFont val="Calibri"/>
        <family val="2"/>
        <scheme val="minor"/>
      </rPr>
      <t>D</t>
    </r>
    <r>
      <rPr>
        <sz val="11"/>
        <color theme="0" tint="-0.499984740745262"/>
        <rFont val="Calibri"/>
        <family val="2"/>
        <scheme val="minor"/>
      </rPr>
      <t>-3s</t>
    </r>
  </si>
  <si>
    <r>
      <t>S</t>
    </r>
    <r>
      <rPr>
        <vertAlign val="subscript"/>
        <sz val="11"/>
        <color theme="0" tint="-0.499984740745262"/>
        <rFont val="Calibri"/>
        <family val="2"/>
        <scheme val="minor"/>
      </rPr>
      <t>e</t>
    </r>
    <r>
      <rPr>
        <sz val="11"/>
        <color theme="0" tint="-0.499984740745262"/>
        <rFont val="Calibri"/>
        <family val="2"/>
        <scheme val="minor"/>
      </rPr>
      <t>(T)</t>
    </r>
  </si>
  <si>
    <r>
      <t>S</t>
    </r>
    <r>
      <rPr>
        <vertAlign val="subscript"/>
        <sz val="11"/>
        <color theme="0" tint="-0.499984740745262"/>
        <rFont val="Calibri"/>
        <family val="2"/>
        <scheme val="minor"/>
      </rPr>
      <t>De</t>
    </r>
    <r>
      <rPr>
        <sz val="11"/>
        <color theme="0" tint="-0.499984740745262"/>
        <rFont val="Calibri"/>
        <family val="2"/>
        <scheme val="minor"/>
      </rPr>
      <t>(T)</t>
    </r>
  </si>
  <si>
    <r>
      <t>S</t>
    </r>
    <r>
      <rPr>
        <vertAlign val="subscript"/>
        <sz val="11"/>
        <color theme="0" tint="-0.499984740745262"/>
        <rFont val="Calibri"/>
        <family val="2"/>
        <scheme val="minor"/>
      </rPr>
      <t>d</t>
    </r>
    <r>
      <rPr>
        <sz val="11"/>
        <color theme="0" tint="-0.499984740745262"/>
        <rFont val="Calibri"/>
        <family val="2"/>
        <scheme val="minor"/>
      </rPr>
      <t>(T)</t>
    </r>
  </si>
  <si>
    <r>
      <t>S</t>
    </r>
    <r>
      <rPr>
        <vertAlign val="subscript"/>
        <sz val="11"/>
        <color theme="0" tint="-0.499984740745262"/>
        <rFont val="Calibri"/>
        <family val="2"/>
        <scheme val="minor"/>
      </rPr>
      <t>v</t>
    </r>
    <r>
      <rPr>
        <sz val="11"/>
        <color theme="0" tint="-0.499984740745262"/>
        <rFont val="Calibri"/>
        <family val="2"/>
        <scheme val="minor"/>
      </rPr>
      <t>(T)</t>
    </r>
  </si>
  <si>
    <r>
      <t>1000/(2</t>
    </r>
    <r>
      <rPr>
        <sz val="12"/>
        <color theme="0" tint="-0.499984740745262"/>
        <rFont val="Symbol"/>
        <family val="1"/>
        <charset val="2"/>
      </rPr>
      <t>p</t>
    </r>
    <r>
      <rPr>
        <sz val="12"/>
        <color theme="0" tint="-0.499984740745262"/>
        <rFont val="Calibri"/>
        <family val="2"/>
        <scheme val="minor"/>
      </rPr>
      <t>)</t>
    </r>
    <r>
      <rPr>
        <vertAlign val="superscript"/>
        <sz val="12"/>
        <color theme="0" tint="-0.499984740745262"/>
        <rFont val="Calibri"/>
        <family val="2"/>
        <scheme val="minor"/>
      </rPr>
      <t>2</t>
    </r>
  </si>
  <si>
    <r>
      <rPr>
        <sz val="12"/>
        <color theme="0" tint="-0.499984740745262"/>
        <rFont val="Symbol"/>
        <family val="1"/>
        <charset val="2"/>
      </rPr>
      <t>D</t>
    </r>
    <r>
      <rPr>
        <sz val="12"/>
        <color theme="0" tint="-0.499984740745262"/>
        <rFont val="Calibri"/>
        <family val="2"/>
        <scheme val="minor"/>
      </rPr>
      <t xml:space="preserve"> T</t>
    </r>
    <r>
      <rPr>
        <vertAlign val="subscript"/>
        <sz val="12"/>
        <color theme="0" tint="-0.499984740745262"/>
        <rFont val="Calibri"/>
        <family val="2"/>
        <scheme val="minor"/>
      </rPr>
      <t>C</t>
    </r>
    <r>
      <rPr>
        <sz val="12"/>
        <color theme="0" tint="-0.499984740745262"/>
        <rFont val="Calibri"/>
        <family val="2"/>
        <scheme val="minor"/>
      </rPr>
      <t>*</t>
    </r>
  </si>
  <si>
    <r>
      <rPr>
        <sz val="12"/>
        <color theme="0" tint="-0.499984740745262"/>
        <rFont val="Symbol"/>
        <family val="1"/>
        <charset val="2"/>
      </rPr>
      <t>D</t>
    </r>
    <r>
      <rPr>
        <sz val="12"/>
        <color theme="0" tint="-0.499984740745262"/>
        <rFont val="Calibri"/>
        <family val="2"/>
        <scheme val="minor"/>
      </rPr>
      <t xml:space="preserve"> F</t>
    </r>
    <r>
      <rPr>
        <vertAlign val="subscript"/>
        <sz val="12"/>
        <color theme="0" tint="-0.499984740745262"/>
        <rFont val="Calibri"/>
        <family val="2"/>
        <scheme val="minor"/>
      </rPr>
      <t>o</t>
    </r>
  </si>
  <si>
    <r>
      <rPr>
        <sz val="12"/>
        <color theme="0" tint="-0.499984740745262"/>
        <rFont val="Symbol"/>
        <family val="1"/>
        <charset val="2"/>
      </rPr>
      <t>D</t>
    </r>
    <r>
      <rPr>
        <sz val="12"/>
        <color theme="0" tint="-0.499984740745262"/>
        <rFont val="Calibri"/>
        <family val="2"/>
        <scheme val="minor"/>
      </rPr>
      <t xml:space="preserve"> T</t>
    </r>
    <r>
      <rPr>
        <vertAlign val="subscript"/>
        <sz val="12"/>
        <color theme="0" tint="-0.499984740745262"/>
        <rFont val="Calibri"/>
        <family val="2"/>
        <scheme val="minor"/>
      </rPr>
      <t>r</t>
    </r>
  </si>
  <si>
    <r>
      <rPr>
        <sz val="12"/>
        <color theme="0" tint="-0.499984740745262"/>
        <rFont val="Symbol"/>
        <family val="1"/>
        <charset val="2"/>
      </rPr>
      <t>D</t>
    </r>
    <r>
      <rPr>
        <sz val="12"/>
        <color theme="0" tint="-0.499984740745262"/>
        <rFont val="Calibri"/>
        <family val="2"/>
        <scheme val="minor"/>
      </rPr>
      <t xml:space="preserve"> ln T</t>
    </r>
    <r>
      <rPr>
        <vertAlign val="subscript"/>
        <sz val="12"/>
        <color theme="0" tint="-0.499984740745262"/>
        <rFont val="Calibri"/>
        <family val="2"/>
        <scheme val="minor"/>
      </rPr>
      <t>r</t>
    </r>
  </si>
  <si>
    <r>
      <rPr>
        <sz val="12"/>
        <color theme="0" tint="-0.499984740745262"/>
        <rFont val="Symbol"/>
        <family val="1"/>
        <charset val="2"/>
      </rPr>
      <t>D</t>
    </r>
    <r>
      <rPr>
        <sz val="12"/>
        <color theme="0" tint="-0.499984740745262"/>
        <rFont val="Calibri"/>
        <family val="2"/>
        <scheme val="minor"/>
      </rPr>
      <t xml:space="preserve"> ln a</t>
    </r>
    <r>
      <rPr>
        <vertAlign val="subscript"/>
        <sz val="12"/>
        <color theme="0" tint="-0.499984740745262"/>
        <rFont val="Calibri"/>
        <family val="2"/>
        <scheme val="minor"/>
      </rPr>
      <t>g</t>
    </r>
  </si>
  <si>
    <r>
      <rPr>
        <sz val="12"/>
        <color theme="0" tint="-0.499984740745262"/>
        <rFont val="Symbol"/>
        <family val="1"/>
        <charset val="2"/>
      </rPr>
      <t>h</t>
    </r>
    <r>
      <rPr>
        <sz val="12"/>
        <color theme="0" tint="-0.499984740745262"/>
        <rFont val="Calibri"/>
        <family val="2"/>
        <scheme val="minor"/>
      </rPr>
      <t xml:space="preserve"> iso</t>
    </r>
  </si>
  <si>
    <r>
      <t xml:space="preserve">per </t>
    </r>
    <r>
      <rPr>
        <sz val="12"/>
        <color theme="0" tint="-0.499984740745262"/>
        <rFont val="Symbol"/>
        <family val="1"/>
        <charset val="2"/>
      </rPr>
      <t>h</t>
    </r>
    <r>
      <rPr>
        <sz val="12"/>
        <color theme="0" tint="-0.499984740745262"/>
        <rFont val="Calibri"/>
        <family val="2"/>
        <scheme val="minor"/>
      </rPr>
      <t>=1</t>
    </r>
  </si>
  <si>
    <r>
      <t>per S</t>
    </r>
    <r>
      <rPr>
        <vertAlign val="subscript"/>
        <sz val="12"/>
        <color theme="0" tint="-0.499984740745262"/>
        <rFont val="Calibri"/>
        <family val="2"/>
        <scheme val="minor"/>
      </rPr>
      <t>e</t>
    </r>
    <r>
      <rPr>
        <sz val="12"/>
        <color theme="0" tint="-0.499984740745262"/>
        <rFont val="Calibri"/>
        <family val="2"/>
        <scheme val="minor"/>
      </rPr>
      <t xml:space="preserve"> </t>
    </r>
    <r>
      <rPr>
        <sz val="12"/>
        <color theme="0" tint="-0.499984740745262"/>
        <rFont val="Symbol"/>
        <family val="1"/>
        <charset val="2"/>
      </rPr>
      <t>®</t>
    </r>
    <r>
      <rPr>
        <sz val="12"/>
        <color theme="0" tint="-0.499984740745262"/>
        <rFont val="Calibri"/>
        <family val="2"/>
        <scheme val="minor"/>
      </rPr>
      <t xml:space="preserve"> 1.2</t>
    </r>
  </si>
  <si>
    <r>
      <t>per S</t>
    </r>
    <r>
      <rPr>
        <vertAlign val="subscript"/>
        <sz val="12"/>
        <color theme="0" tint="-0.499984740745262"/>
        <rFont val="Calibri"/>
        <family val="2"/>
        <scheme val="minor"/>
      </rPr>
      <t>d</t>
    </r>
    <r>
      <rPr>
        <sz val="12"/>
        <color theme="0" tint="-0.499984740745262"/>
        <rFont val="Calibri"/>
        <family val="2"/>
        <scheme val="minor"/>
      </rPr>
      <t xml:space="preserve"> </t>
    </r>
    <r>
      <rPr>
        <sz val="12"/>
        <color theme="0" tint="-0.499984740745262"/>
        <rFont val="Symbol"/>
        <family val="1"/>
        <charset val="2"/>
      </rPr>
      <t>®</t>
    </r>
    <r>
      <rPr>
        <sz val="12"/>
        <color theme="0" tint="-0.499984740745262"/>
        <rFont val="Calibri"/>
        <family val="2"/>
        <scheme val="minor"/>
      </rPr>
      <t xml:space="preserve"> 450</t>
    </r>
  </si>
  <si>
    <r>
      <t xml:space="preserve">smorzamento </t>
    </r>
    <r>
      <rPr>
        <sz val="12"/>
        <color theme="1"/>
        <rFont val="Symbol"/>
        <family val="1"/>
        <charset val="2"/>
      </rPr>
      <t>x</t>
    </r>
  </si>
  <si>
    <r>
      <rPr>
        <sz val="12"/>
        <color theme="1"/>
        <rFont val="Symbol"/>
        <family val="1"/>
        <charset val="2"/>
      </rPr>
      <t>x</t>
    </r>
    <r>
      <rPr>
        <sz val="12"/>
        <color theme="1"/>
        <rFont val="Calibri"/>
        <family val="2"/>
        <scheme val="minor"/>
      </rPr>
      <t xml:space="preserve"> iso </t>
    </r>
  </si>
  <si>
    <r>
      <t>V</t>
    </r>
    <r>
      <rPr>
        <vertAlign val="subscript"/>
        <sz val="12"/>
        <rFont val="Calibri"/>
        <family val="2"/>
        <scheme val="minor"/>
      </rPr>
      <t>pil</t>
    </r>
  </si>
  <si>
    <r>
      <t>M</t>
    </r>
    <r>
      <rPr>
        <vertAlign val="subscript"/>
        <sz val="12"/>
        <rFont val="Calibri"/>
        <family val="2"/>
        <scheme val="minor"/>
      </rPr>
      <t>pil</t>
    </r>
  </si>
  <si>
    <r>
      <t>M</t>
    </r>
    <r>
      <rPr>
        <vertAlign val="subscript"/>
        <sz val="12"/>
        <color rgb="FFFF0000"/>
        <rFont val="Calibri"/>
        <family val="2"/>
        <scheme val="minor"/>
      </rPr>
      <t>pil</t>
    </r>
    <r>
      <rPr>
        <sz val="12"/>
        <color rgb="FFFF0000"/>
        <rFont val="Calibri"/>
        <family val="2"/>
        <scheme val="minor"/>
      </rPr>
      <t xml:space="preserve"> ger.res.</t>
    </r>
  </si>
  <si>
    <r>
      <rPr>
        <sz val="12"/>
        <rFont val="Symbol"/>
        <family val="1"/>
        <charset val="2"/>
      </rPr>
      <t>D</t>
    </r>
    <r>
      <rPr>
        <sz val="12"/>
        <color theme="1"/>
        <rFont val="Calibri"/>
        <family val="2"/>
        <scheme val="minor"/>
      </rPr>
      <t>N</t>
    </r>
    <r>
      <rPr>
        <vertAlign val="subscript"/>
        <sz val="12"/>
        <color theme="1"/>
        <rFont val="Calibri"/>
        <family val="2"/>
        <scheme val="minor"/>
      </rPr>
      <t>pil</t>
    </r>
  </si>
  <si>
    <r>
      <t>M</t>
    </r>
    <r>
      <rPr>
        <vertAlign val="subscript"/>
        <sz val="12"/>
        <rFont val="Calibri"/>
        <family val="2"/>
        <scheme val="minor"/>
      </rPr>
      <t>tra</t>
    </r>
  </si>
  <si>
    <r>
      <t>V</t>
    </r>
    <r>
      <rPr>
        <vertAlign val="subscript"/>
        <sz val="12"/>
        <rFont val="Calibri"/>
        <family val="2"/>
        <scheme val="minor"/>
      </rPr>
      <t>tra</t>
    </r>
  </si>
  <si>
    <t>impalcati (da Geom e masse)</t>
  </si>
  <si>
    <t>(da Geom e masse)</t>
  </si>
  <si>
    <r>
      <t>periodo fondamentale T</t>
    </r>
    <r>
      <rPr>
        <vertAlign val="subscript"/>
        <sz val="12"/>
        <color theme="1"/>
        <rFont val="Calibri"/>
        <family val="2"/>
        <scheme val="minor"/>
      </rPr>
      <t>1</t>
    </r>
  </si>
  <si>
    <t>lo stesso per tutti i piani</t>
  </si>
  <si>
    <t>Dimensioni massime impalcato</t>
  </si>
  <si>
    <r>
      <t>L</t>
    </r>
    <r>
      <rPr>
        <vertAlign val="subscript"/>
        <sz val="12"/>
        <color theme="1"/>
        <rFont val="Calibri"/>
        <family val="2"/>
        <scheme val="minor"/>
      </rPr>
      <t>x</t>
    </r>
  </si>
  <si>
    <r>
      <t>L</t>
    </r>
    <r>
      <rPr>
        <vertAlign val="subscript"/>
        <sz val="12"/>
        <color theme="1"/>
        <rFont val="Calibri"/>
        <family val="2"/>
        <scheme val="minor"/>
      </rPr>
      <t>y</t>
    </r>
  </si>
  <si>
    <r>
      <t>e</t>
    </r>
    <r>
      <rPr>
        <vertAlign val="subscript"/>
        <sz val="12"/>
        <color theme="1"/>
        <rFont val="Calibri"/>
        <family val="2"/>
        <scheme val="minor"/>
      </rPr>
      <t>x</t>
    </r>
  </si>
  <si>
    <r>
      <t>e</t>
    </r>
    <r>
      <rPr>
        <vertAlign val="subscript"/>
        <sz val="12"/>
        <color theme="1"/>
        <rFont val="Calibri"/>
        <family val="2"/>
        <scheme val="minor"/>
      </rPr>
      <t>y</t>
    </r>
  </si>
  <si>
    <t>sisma x</t>
  </si>
  <si>
    <t>sisma y</t>
  </si>
  <si>
    <t>[kNm]</t>
  </si>
  <si>
    <t>Coppie per eccentricità accidentale</t>
  </si>
  <si>
    <r>
      <t>M</t>
    </r>
    <r>
      <rPr>
        <vertAlign val="subscript"/>
        <sz val="12"/>
        <rFont val="Calibri"/>
        <family val="2"/>
        <scheme val="minor"/>
      </rPr>
      <t>acc</t>
    </r>
  </si>
  <si>
    <r>
      <t>e</t>
    </r>
    <r>
      <rPr>
        <vertAlign val="subscript"/>
        <sz val="12"/>
        <rFont val="Calibri"/>
        <family val="2"/>
        <scheme val="minor"/>
      </rPr>
      <t>y</t>
    </r>
  </si>
  <si>
    <r>
      <t>e</t>
    </r>
    <r>
      <rPr>
        <vertAlign val="subscript"/>
        <sz val="12"/>
        <rFont val="Calibri"/>
        <family val="2"/>
        <scheme val="minor"/>
      </rPr>
      <t>x</t>
    </r>
  </si>
  <si>
    <t>Eccentricità accidentale</t>
  </si>
  <si>
    <t>Forze e CarSoll - versione 1.4c</t>
  </si>
  <si>
    <r>
      <t>W</t>
    </r>
    <r>
      <rPr>
        <vertAlign val="subscript"/>
        <sz val="12"/>
        <color theme="1"/>
        <rFont val="Calibri"/>
        <family val="2"/>
        <scheme val="minor"/>
      </rPr>
      <t>z</t>
    </r>
  </si>
  <si>
    <r>
      <t>F</t>
    </r>
    <r>
      <rPr>
        <vertAlign val="subscript"/>
        <sz val="12"/>
        <color theme="1"/>
        <rFont val="Calibri"/>
        <family val="2"/>
        <scheme val="minor"/>
      </rPr>
      <t>i</t>
    </r>
  </si>
  <si>
    <r>
      <t>V</t>
    </r>
    <r>
      <rPr>
        <vertAlign val="subscript"/>
        <sz val="12"/>
        <color theme="1"/>
        <rFont val="Calibri"/>
        <family val="2"/>
        <scheme val="minor"/>
      </rPr>
      <t>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</si>
</sst>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"/>
    <numFmt numFmtId="166" formatCode="[$-410]mmm\-yy;@"/>
    <numFmt numFmtId="167" formatCode="0.0000"/>
    <numFmt numFmtId="168" formatCode="0.000000"/>
  </numFmts>
  <fonts count="38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Symbol"/>
      <family val="1"/>
      <charset val="2"/>
    </font>
    <font>
      <vertAlign val="superscript"/>
      <sz val="10"/>
      <color theme="1"/>
      <name val="Arial"/>
      <family val="2"/>
    </font>
    <font>
      <sz val="10"/>
      <color rgb="FF0000FF"/>
      <name val="Arial"/>
      <family val="2"/>
    </font>
    <font>
      <sz val="10"/>
      <color rgb="FF0000FF"/>
      <name val="Symbol"/>
      <family val="1"/>
      <charset val="2"/>
    </font>
    <font>
      <sz val="10"/>
      <color theme="0" tint="-0.249977111117893"/>
      <name val="Arial"/>
      <family val="2"/>
    </font>
    <font>
      <sz val="12"/>
      <color theme="0" tint="-0.499984740745262"/>
      <name val="Calibri"/>
      <family val="2"/>
      <scheme val="minor"/>
    </font>
    <font>
      <vertAlign val="subscript"/>
      <sz val="12"/>
      <color theme="0" tint="-0.499984740745262"/>
      <name val="Calibri"/>
      <family val="2"/>
      <scheme val="minor"/>
    </font>
    <font>
      <sz val="12"/>
      <color theme="0" tint="-0.499984740745262"/>
      <name val="Symbol"/>
      <family val="1"/>
      <charset val="2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vertAlign val="subscript"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Symbol"/>
      <family val="1"/>
      <charset val="2"/>
    </font>
    <font>
      <sz val="12"/>
      <name val="Calibri"/>
      <family val="1"/>
      <charset val="2"/>
      <scheme val="minor"/>
    </font>
    <font>
      <vertAlign val="superscript"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vertAlign val="subscript"/>
      <sz val="12"/>
      <color theme="0"/>
      <name val="Calibri"/>
      <family val="2"/>
      <scheme val="minor"/>
    </font>
    <font>
      <vertAlign val="superscript"/>
      <sz val="12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color theme="0" tint="-0.499984740745262"/>
      <name val="Calibri"/>
      <family val="2"/>
      <scheme val="minor"/>
    </font>
    <font>
      <sz val="12"/>
      <color theme="0" tint="-0.499984740745262"/>
      <name val="Calibri"/>
      <family val="1"/>
      <charset val="2"/>
      <scheme val="minor"/>
    </font>
    <font>
      <sz val="12"/>
      <color theme="1"/>
      <name val="Symbol"/>
      <family val="1"/>
      <charset val="2"/>
    </font>
    <font>
      <sz val="12"/>
      <color theme="1"/>
      <name val="Calibri"/>
      <family val="1"/>
      <charset val="2"/>
      <scheme val="minor"/>
    </font>
    <font>
      <vertAlign val="subscript"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</borders>
  <cellStyleXfs count="2">
    <xf numFmtId="0" fontId="0" fillId="0" borderId="0"/>
    <xf numFmtId="0" fontId="2" fillId="0" borderId="0"/>
  </cellStyleXfs>
  <cellXfs count="169">
    <xf numFmtId="0" fontId="0" fillId="0" borderId="0" xfId="0"/>
    <xf numFmtId="0" fontId="1" fillId="0" borderId="0" xfId="0" applyFont="1" applyAlignment="1">
      <alignment horizontal="center"/>
    </xf>
    <xf numFmtId="0" fontId="5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2" fontId="1" fillId="2" borderId="0" xfId="0" applyNumberFormat="1" applyFont="1" applyFill="1" applyAlignment="1" applyProtection="1">
      <alignment horizontal="center"/>
      <protection locked="0"/>
    </xf>
    <xf numFmtId="0" fontId="1" fillId="0" borderId="1" xfId="0" applyFont="1" applyBorder="1"/>
    <xf numFmtId="165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3" fillId="0" borderId="0" xfId="0" applyFont="1"/>
    <xf numFmtId="0" fontId="6" fillId="0" borderId="0" xfId="0" applyFont="1" applyAlignment="1">
      <alignment horizontal="center"/>
    </xf>
    <xf numFmtId="165" fontId="1" fillId="2" borderId="0" xfId="0" applyNumberFormat="1" applyFont="1" applyFill="1" applyAlignment="1" applyProtection="1">
      <alignment horizontal="center"/>
      <protection locked="0"/>
    </xf>
    <xf numFmtId="9" fontId="1" fillId="2" borderId="0" xfId="0" applyNumberFormat="1" applyFont="1" applyFill="1" applyAlignment="1" applyProtection="1">
      <alignment horizontal="center"/>
      <protection locked="0"/>
    </xf>
    <xf numFmtId="49" fontId="5" fillId="2" borderId="0" xfId="0" applyNumberFormat="1" applyFont="1" applyFill="1" applyAlignment="1" applyProtection="1">
      <alignment horizontal="center"/>
      <protection locked="0"/>
    </xf>
    <xf numFmtId="1" fontId="5" fillId="2" borderId="0" xfId="0" applyNumberFormat="1" applyFont="1" applyFill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9" fillId="0" borderId="0" xfId="0" quotePrefix="1" applyFont="1" applyAlignment="1">
      <alignment horizontal="left"/>
    </xf>
    <xf numFmtId="0" fontId="1" fillId="0" borderId="8" xfId="0" applyFont="1" applyBorder="1"/>
    <xf numFmtId="0" fontId="1" fillId="0" borderId="8" xfId="0" applyFont="1" applyBorder="1" applyAlignment="1">
      <alignment horizontal="right"/>
    </xf>
    <xf numFmtId="0" fontId="1" fillId="0" borderId="8" xfId="0" quotePrefix="1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165" fontId="1" fillId="0" borderId="9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49" fontId="1" fillId="2" borderId="0" xfId="0" applyNumberFormat="1" applyFont="1" applyFill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5" fillId="0" borderId="0" xfId="1" applyFont="1"/>
    <xf numFmtId="0" fontId="16" fillId="0" borderId="0" xfId="1" applyFont="1"/>
    <xf numFmtId="0" fontId="17" fillId="0" borderId="0" xfId="1" applyFont="1"/>
    <xf numFmtId="0" fontId="18" fillId="0" borderId="0" xfId="0" applyFont="1"/>
    <xf numFmtId="166" fontId="17" fillId="0" borderId="0" xfId="1" applyNumberFormat="1" applyFont="1" applyAlignment="1">
      <alignment horizontal="center"/>
    </xf>
    <xf numFmtId="0" fontId="20" fillId="0" borderId="0" xfId="0" applyFont="1"/>
    <xf numFmtId="0" fontId="17" fillId="0" borderId="0" xfId="0" applyFont="1"/>
    <xf numFmtId="0" fontId="17" fillId="2" borderId="0" xfId="0" applyFont="1" applyFill="1" applyAlignment="1" applyProtection="1">
      <alignment horizontal="center" vertical="center"/>
      <protection locked="0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18" fillId="3" borderId="0" xfId="0" applyFont="1" applyFill="1" applyAlignment="1">
      <alignment horizontal="center"/>
    </xf>
    <xf numFmtId="0" fontId="18" fillId="0" borderId="0" xfId="0" applyFont="1" applyAlignment="1">
      <alignment horizontal="right"/>
    </xf>
    <xf numFmtId="0" fontId="23" fillId="0" borderId="0" xfId="0" applyFont="1"/>
    <xf numFmtId="2" fontId="18" fillId="0" borderId="0" xfId="0" applyNumberFormat="1" applyFont="1" applyAlignment="1">
      <alignment horizontal="center"/>
    </xf>
    <xf numFmtId="164" fontId="18" fillId="3" borderId="0" xfId="0" applyNumberFormat="1" applyFont="1" applyFill="1" applyAlignment="1">
      <alignment horizontal="center"/>
    </xf>
    <xf numFmtId="0" fontId="24" fillId="0" borderId="0" xfId="0" applyFont="1" applyAlignment="1">
      <alignment horizontal="center"/>
    </xf>
    <xf numFmtId="0" fontId="17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>
      <alignment horizontal="left"/>
    </xf>
    <xf numFmtId="9" fontId="17" fillId="2" borderId="0" xfId="0" applyNumberFormat="1" applyFont="1" applyFill="1" applyAlignment="1" applyProtection="1">
      <alignment horizontal="center" vertical="center"/>
      <protection locked="0"/>
    </xf>
    <xf numFmtId="9" fontId="17" fillId="0" borderId="0" xfId="0" applyNumberFormat="1" applyFont="1" applyAlignment="1" applyProtection="1">
      <alignment horizontal="center" vertical="center"/>
      <protection locked="0"/>
    </xf>
    <xf numFmtId="2" fontId="18" fillId="3" borderId="0" xfId="0" applyNumberFormat="1" applyFont="1" applyFill="1" applyAlignment="1">
      <alignment horizontal="center"/>
    </xf>
    <xf numFmtId="0" fontId="23" fillId="0" borderId="0" xfId="1" applyFont="1"/>
    <xf numFmtId="0" fontId="18" fillId="0" borderId="0" xfId="0" applyFont="1" applyAlignment="1">
      <alignment horizontal="center" vertical="center"/>
    </xf>
    <xf numFmtId="167" fontId="18" fillId="3" borderId="0" xfId="0" applyNumberFormat="1" applyFont="1" applyFill="1" applyAlignment="1">
      <alignment horizontal="center"/>
    </xf>
    <xf numFmtId="0" fontId="18" fillId="0" borderId="2" xfId="0" applyFont="1" applyBorder="1" applyAlignment="1">
      <alignment horizontal="center"/>
    </xf>
    <xf numFmtId="165" fontId="18" fillId="0" borderId="2" xfId="0" applyNumberFormat="1" applyFont="1" applyBorder="1" applyAlignment="1">
      <alignment horizontal="center"/>
    </xf>
    <xf numFmtId="2" fontId="18" fillId="0" borderId="2" xfId="0" applyNumberFormat="1" applyFont="1" applyBorder="1" applyAlignment="1">
      <alignment horizontal="center"/>
    </xf>
    <xf numFmtId="1" fontId="18" fillId="0" borderId="2" xfId="0" applyNumberFormat="1" applyFont="1" applyBorder="1" applyAlignment="1">
      <alignment horizontal="center"/>
    </xf>
    <xf numFmtId="165" fontId="18" fillId="3" borderId="2" xfId="0" applyNumberFormat="1" applyFont="1" applyFill="1" applyBorder="1" applyAlignment="1">
      <alignment horizontal="center"/>
    </xf>
    <xf numFmtId="165" fontId="18" fillId="3" borderId="0" xfId="0" applyNumberFormat="1" applyFont="1" applyFill="1" applyAlignment="1">
      <alignment horizontal="center"/>
    </xf>
    <xf numFmtId="165" fontId="18" fillId="0" borderId="5" xfId="0" applyNumberFormat="1" applyFont="1" applyBorder="1" applyAlignment="1">
      <alignment horizontal="center"/>
    </xf>
    <xf numFmtId="1" fontId="18" fillId="0" borderId="5" xfId="0" applyNumberFormat="1" applyFont="1" applyBorder="1" applyAlignment="1">
      <alignment horizontal="center"/>
    </xf>
    <xf numFmtId="165" fontId="18" fillId="0" borderId="4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26" fillId="0" borderId="0" xfId="0" applyFont="1" applyAlignment="1">
      <alignment horizontal="center"/>
    </xf>
    <xf numFmtId="0" fontId="18" fillId="2" borderId="0" xfId="0" applyFont="1" applyFill="1" applyAlignment="1" applyProtection="1">
      <alignment horizontal="center"/>
      <protection locked="0"/>
    </xf>
    <xf numFmtId="0" fontId="18" fillId="0" borderId="0" xfId="0" applyFont="1" applyAlignment="1">
      <alignment horizontal="left"/>
    </xf>
    <xf numFmtId="2" fontId="18" fillId="2" borderId="2" xfId="0" applyNumberFormat="1" applyFont="1" applyFill="1" applyBorder="1" applyAlignment="1" applyProtection="1">
      <alignment horizontal="center"/>
      <protection locked="0"/>
    </xf>
    <xf numFmtId="165" fontId="18" fillId="2" borderId="2" xfId="0" applyNumberFormat="1" applyFont="1" applyFill="1" applyBorder="1" applyAlignment="1" applyProtection="1">
      <alignment horizontal="center"/>
      <protection locked="0"/>
    </xf>
    <xf numFmtId="0" fontId="18" fillId="0" borderId="0" xfId="0" quotePrefix="1" applyFont="1"/>
    <xf numFmtId="0" fontId="16" fillId="0" borderId="0" xfId="0" applyFont="1"/>
    <xf numFmtId="0" fontId="18" fillId="0" borderId="2" xfId="0" applyFont="1" applyBorder="1" applyAlignment="1" applyProtection="1">
      <alignment horizontal="center"/>
      <protection locked="0"/>
    </xf>
    <xf numFmtId="2" fontId="18" fillId="2" borderId="0" xfId="0" applyNumberFormat="1" applyFont="1" applyFill="1" applyAlignment="1" applyProtection="1">
      <alignment horizontal="center"/>
      <protection locked="0"/>
    </xf>
    <xf numFmtId="0" fontId="18" fillId="0" borderId="1" xfId="0" applyFont="1" applyBorder="1"/>
    <xf numFmtId="0" fontId="15" fillId="0" borderId="1" xfId="1" applyFont="1" applyBorder="1" applyAlignment="1">
      <alignment horizontal="centerContinuous"/>
    </xf>
    <xf numFmtId="0" fontId="17" fillId="0" borderId="0" xfId="1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20" fillId="0" borderId="0" xfId="0" applyFont="1" applyAlignment="1">
      <alignment horizontal="centerContinuous"/>
    </xf>
    <xf numFmtId="0" fontId="17" fillId="0" borderId="1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23" fillId="0" borderId="0" xfId="1" applyFont="1" applyAlignment="1">
      <alignment horizontal="center"/>
    </xf>
    <xf numFmtId="2" fontId="18" fillId="0" borderId="5" xfId="0" applyNumberFormat="1" applyFont="1" applyBorder="1" applyAlignment="1" applyProtection="1">
      <alignment horizontal="center"/>
      <protection locked="0"/>
    </xf>
    <xf numFmtId="165" fontId="18" fillId="0" borderId="0" xfId="0" applyNumberFormat="1" applyFont="1" applyAlignment="1">
      <alignment horizontal="center"/>
    </xf>
    <xf numFmtId="0" fontId="18" fillId="0" borderId="1" xfId="0" applyFont="1" applyBorder="1" applyAlignment="1">
      <alignment horizontal="center"/>
    </xf>
    <xf numFmtId="165" fontId="18" fillId="0" borderId="1" xfId="0" applyNumberFormat="1" applyFont="1" applyBorder="1" applyAlignment="1">
      <alignment horizontal="center"/>
    </xf>
    <xf numFmtId="165" fontId="23" fillId="0" borderId="0" xfId="0" applyNumberFormat="1" applyFont="1" applyAlignment="1">
      <alignment horizontal="center"/>
    </xf>
    <xf numFmtId="2" fontId="18" fillId="2" borderId="1" xfId="0" applyNumberFormat="1" applyFont="1" applyFill="1" applyBorder="1" applyAlignment="1" applyProtection="1">
      <alignment horizontal="center"/>
      <protection locked="0"/>
    </xf>
    <xf numFmtId="2" fontId="18" fillId="0" borderId="6" xfId="0" applyNumberFormat="1" applyFont="1" applyBorder="1" applyAlignment="1" applyProtection="1">
      <alignment horizontal="center"/>
      <protection locked="0"/>
    </xf>
    <xf numFmtId="2" fontId="18" fillId="0" borderId="7" xfId="0" applyNumberFormat="1" applyFont="1" applyBorder="1" applyAlignment="1" applyProtection="1">
      <alignment horizontal="center"/>
      <protection locked="0"/>
    </xf>
    <xf numFmtId="0" fontId="18" fillId="0" borderId="9" xfId="0" applyFont="1" applyBorder="1"/>
    <xf numFmtId="0" fontId="28" fillId="0" borderId="0" xfId="0" applyFont="1"/>
    <xf numFmtId="0" fontId="18" fillId="0" borderId="15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11" xfId="0" applyFont="1" applyBorder="1" applyAlignment="1">
      <alignment horizontal="centerContinuous"/>
    </xf>
    <xf numFmtId="0" fontId="18" fillId="0" borderId="12" xfId="0" applyFont="1" applyBorder="1" applyAlignment="1">
      <alignment horizontal="centerContinuous"/>
    </xf>
    <xf numFmtId="0" fontId="18" fillId="0" borderId="13" xfId="0" applyFont="1" applyBorder="1" applyAlignment="1">
      <alignment horizontal="centerContinuous"/>
    </xf>
    <xf numFmtId="0" fontId="18" fillId="2" borderId="10" xfId="0" applyFont="1" applyFill="1" applyBorder="1" applyAlignment="1" applyProtection="1">
      <alignment horizontal="center"/>
      <protection locked="0"/>
    </xf>
    <xf numFmtId="0" fontId="18" fillId="2" borderId="2" xfId="0" applyFont="1" applyFill="1" applyBorder="1" applyAlignment="1" applyProtection="1">
      <alignment horizontal="center"/>
      <protection locked="0"/>
    </xf>
    <xf numFmtId="0" fontId="18" fillId="2" borderId="3" xfId="0" applyFont="1" applyFill="1" applyBorder="1" applyAlignment="1" applyProtection="1">
      <alignment horizontal="center"/>
      <protection locked="0"/>
    </xf>
    <xf numFmtId="0" fontId="18" fillId="0" borderId="3" xfId="0" applyFont="1" applyBorder="1" applyAlignment="1">
      <alignment horizontal="center"/>
    </xf>
    <xf numFmtId="2" fontId="18" fillId="2" borderId="10" xfId="0" applyNumberFormat="1" applyFont="1" applyFill="1" applyBorder="1" applyAlignment="1" applyProtection="1">
      <alignment horizontal="center"/>
      <protection locked="0"/>
    </xf>
    <xf numFmtId="2" fontId="18" fillId="2" borderId="3" xfId="0" applyNumberFormat="1" applyFont="1" applyFill="1" applyBorder="1" applyAlignment="1" applyProtection="1">
      <alignment horizontal="center"/>
      <protection locked="0"/>
    </xf>
    <xf numFmtId="0" fontId="28" fillId="0" borderId="0" xfId="0" applyFont="1" applyAlignment="1">
      <alignment horizontal="left"/>
    </xf>
    <xf numFmtId="0" fontId="2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66" fontId="18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167" fontId="12" fillId="0" borderId="0" xfId="0" applyNumberFormat="1" applyFont="1" applyAlignment="1">
      <alignment horizontal="center" vertical="center"/>
    </xf>
    <xf numFmtId="164" fontId="17" fillId="2" borderId="0" xfId="0" applyNumberFormat="1" applyFont="1" applyFill="1" applyAlignment="1" applyProtection="1">
      <alignment horizontal="center" vertical="center"/>
      <protection locked="0"/>
    </xf>
    <xf numFmtId="1" fontId="24" fillId="0" borderId="0" xfId="0" applyNumberFormat="1" applyFont="1" applyAlignment="1">
      <alignment horizontal="center" vertical="center"/>
    </xf>
    <xf numFmtId="164" fontId="24" fillId="0" borderId="0" xfId="0" applyNumberFormat="1" applyFont="1" applyAlignment="1">
      <alignment horizontal="center" vertical="center"/>
    </xf>
    <xf numFmtId="9" fontId="18" fillId="0" borderId="0" xfId="0" applyNumberFormat="1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9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2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17" fillId="3" borderId="0" xfId="0" applyNumberFormat="1" applyFont="1" applyFill="1" applyAlignment="1">
      <alignment horizontal="center" vertical="center"/>
    </xf>
    <xf numFmtId="165" fontId="17" fillId="3" borderId="0" xfId="0" applyNumberFormat="1" applyFont="1" applyFill="1" applyAlignment="1">
      <alignment horizontal="center" vertical="center"/>
    </xf>
    <xf numFmtId="165" fontId="18" fillId="3" borderId="0" xfId="0" applyNumberFormat="1" applyFont="1" applyFill="1" applyAlignment="1">
      <alignment horizontal="center" vertical="center"/>
    </xf>
    <xf numFmtId="0" fontId="23" fillId="0" borderId="0" xfId="0" applyFont="1" applyAlignment="1">
      <alignment horizontal="right" vertical="center"/>
    </xf>
    <xf numFmtId="2" fontId="18" fillId="0" borderId="0" xfId="0" applyNumberFormat="1" applyFont="1" applyAlignment="1">
      <alignment horizontal="center" vertical="center"/>
    </xf>
    <xf numFmtId="2" fontId="18" fillId="3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right" vertical="center"/>
    </xf>
    <xf numFmtId="168" fontId="18" fillId="0" borderId="0" xfId="0" applyNumberFormat="1" applyFont="1" applyAlignment="1">
      <alignment vertical="center"/>
    </xf>
    <xf numFmtId="164" fontId="12" fillId="0" borderId="0" xfId="0" applyNumberFormat="1" applyFont="1" applyAlignment="1">
      <alignment horizontal="right" vertical="center"/>
    </xf>
    <xf numFmtId="0" fontId="32" fillId="0" borderId="1" xfId="0" applyFont="1" applyBorder="1" applyAlignment="1">
      <alignment horizontal="center" vertical="center"/>
    </xf>
    <xf numFmtId="164" fontId="29" fillId="0" borderId="14" xfId="0" applyNumberFormat="1" applyFont="1" applyBorder="1" applyAlignment="1">
      <alignment horizontal="center" vertical="center"/>
    </xf>
    <xf numFmtId="164" fontId="29" fillId="0" borderId="0" xfId="0" applyNumberFormat="1" applyFont="1" applyAlignment="1">
      <alignment horizontal="center" vertical="center"/>
    </xf>
    <xf numFmtId="2" fontId="29" fillId="0" borderId="0" xfId="0" applyNumberFormat="1" applyFont="1" applyAlignment="1">
      <alignment horizontal="center" vertical="center"/>
    </xf>
    <xf numFmtId="0" fontId="29" fillId="0" borderId="0" xfId="0" applyFont="1" applyAlignment="1">
      <alignment vertical="center"/>
    </xf>
    <xf numFmtId="167" fontId="29" fillId="0" borderId="0" xfId="0" applyNumberFormat="1" applyFont="1" applyAlignment="1">
      <alignment horizontal="center" vertical="center"/>
    </xf>
    <xf numFmtId="167" fontId="29" fillId="0" borderId="14" xfId="0" applyNumberFormat="1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164" fontId="17" fillId="0" borderId="2" xfId="0" applyNumberFormat="1" applyFont="1" applyBorder="1" applyAlignment="1">
      <alignment horizontal="center" vertical="center"/>
    </xf>
    <xf numFmtId="9" fontId="17" fillId="0" borderId="2" xfId="0" applyNumberFormat="1" applyFont="1" applyBorder="1" applyAlignment="1">
      <alignment horizontal="center" vertical="center"/>
    </xf>
    <xf numFmtId="0" fontId="36" fillId="0" borderId="0" xfId="0" applyFont="1" applyAlignment="1">
      <alignment horizontal="right" vertical="center"/>
    </xf>
    <xf numFmtId="0" fontId="26" fillId="0" borderId="0" xfId="1" applyFont="1" applyAlignment="1">
      <alignment horizontal="center"/>
    </xf>
    <xf numFmtId="0" fontId="0" fillId="0" borderId="0" xfId="0" applyAlignment="1">
      <alignment horizontal="center"/>
    </xf>
    <xf numFmtId="165" fontId="17" fillId="0" borderId="0" xfId="0" applyNumberFormat="1" applyFont="1" applyAlignment="1">
      <alignment horizontal="center"/>
    </xf>
    <xf numFmtId="2" fontId="17" fillId="0" borderId="0" xfId="0" applyNumberFormat="1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7" fillId="2" borderId="0" xfId="0" applyFont="1" applyFill="1" applyAlignment="1" applyProtection="1">
      <alignment vertical="center"/>
      <protection locked="0"/>
    </xf>
    <xf numFmtId="0" fontId="24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2" borderId="0" xfId="0" applyFont="1" applyFill="1" applyAlignment="1" applyProtection="1">
      <alignment horizontal="center"/>
      <protection locked="0"/>
    </xf>
    <xf numFmtId="0" fontId="18" fillId="0" borderId="0" xfId="0" applyFont="1" applyAlignment="1">
      <alignment horizontal="center"/>
    </xf>
    <xf numFmtId="0" fontId="18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49" fontId="1" fillId="2" borderId="0" xfId="0" applyNumberFormat="1" applyFont="1" applyFill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</cellXfs>
  <cellStyles count="2">
    <cellStyle name="Normale" xfId="0" builtinId="0"/>
    <cellStyle name="Normale 2" xfId="1" xr:uid="{00000000-0005-0000-0000-000001000000}"/>
  </cellStyles>
  <dxfs count="95">
    <dxf>
      <font>
        <color theme="0"/>
      </font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lor theme="0"/>
      </font>
    </dxf>
    <dxf>
      <fill>
        <patternFill>
          <bgColor rgb="FFFFFF99"/>
        </patternFill>
      </fill>
    </dxf>
    <dxf>
      <font>
        <color theme="0"/>
      </font>
    </dxf>
    <dxf>
      <fill>
        <patternFill>
          <bgColor rgb="FFFFFF99"/>
        </patternFill>
      </fill>
    </dxf>
    <dxf>
      <font>
        <color theme="0"/>
      </font>
    </dxf>
    <dxf>
      <fill>
        <patternFill>
          <bgColor rgb="FFFFFF99"/>
        </patternFill>
      </fill>
    </dxf>
    <dxf>
      <font>
        <color theme="0"/>
      </font>
    </dxf>
    <dxf>
      <fill>
        <patternFill>
          <bgColor rgb="FFFFFF99"/>
        </patternFill>
      </fill>
    </dxf>
    <dxf>
      <font>
        <color theme="0"/>
      </font>
    </dxf>
    <dxf>
      <fill>
        <patternFill>
          <bgColor rgb="FFFFFF99"/>
        </patternFill>
      </fill>
    </dxf>
    <dxf>
      <font>
        <color theme="0"/>
      </font>
    </dxf>
    <dxf>
      <fill>
        <patternFill>
          <bgColor rgb="FFFFFF99"/>
        </patternFill>
      </fill>
    </dxf>
    <dxf>
      <font>
        <color theme="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theme="0"/>
      </font>
    </dxf>
    <dxf>
      <fill>
        <patternFill>
          <bgColor rgb="FFFFFF99"/>
        </patternFill>
      </fill>
    </dxf>
    <dxf>
      <font>
        <color theme="0"/>
      </font>
    </dxf>
    <dxf>
      <font>
        <color theme="0"/>
      </font>
    </dxf>
    <dxf>
      <fill>
        <patternFill>
          <bgColor rgb="FFFFFF99"/>
        </patternFill>
      </fill>
    </dxf>
    <dxf>
      <font>
        <color theme="0"/>
      </font>
    </dxf>
    <dxf>
      <fill>
        <patternFill>
          <bgColor rgb="FFFFFF99"/>
        </patternFill>
      </fill>
    </dxf>
    <dxf>
      <font>
        <color theme="0"/>
      </font>
    </dxf>
    <dxf>
      <fill>
        <patternFill>
          <bgColor rgb="FFFFFF99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ont>
        <strike val="0"/>
        <color theme="0"/>
      </font>
    </dxf>
    <dxf>
      <fill>
        <patternFill>
          <bgColor rgb="FFFFFF99"/>
        </patternFill>
      </fill>
    </dxf>
    <dxf>
      <font>
        <strike val="0"/>
        <color theme="0"/>
      </font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ont>
        <color theme="0"/>
      </font>
    </dxf>
    <dxf>
      <fill>
        <patternFill>
          <bgColor rgb="FFFFFF99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strike val="0"/>
        <color theme="0"/>
      </font>
    </dxf>
    <dxf>
      <font>
        <strike val="0"/>
        <color theme="0"/>
      </font>
    </dxf>
    <dxf>
      <fill>
        <patternFill>
          <bgColor theme="0"/>
        </patternFill>
      </fill>
    </dxf>
    <dxf>
      <font>
        <color theme="0"/>
      </font>
    </dxf>
    <dxf>
      <fill>
        <patternFill>
          <bgColor rgb="FFCCFFCC"/>
        </patternFill>
      </fill>
    </dxf>
    <dxf>
      <font>
        <color auto="1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>
          <bgColor rgb="FFCCFFCC"/>
        </patternFill>
      </fill>
    </dxf>
    <dxf>
      <font>
        <color auto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</dxfs>
  <tableStyles count="0" defaultTableStyle="TableStyleMedium2" defaultPivotStyle="PivotStyleMedium9"/>
  <colors>
    <mruColors>
      <color rgb="FFCCFFCC"/>
      <color rgb="FFFFFF99"/>
      <color rgb="FFFF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'Spettri x'!$AA$10</c:f>
          <c:strCache>
            <c:ptCount val="1"/>
            <c:pt idx="0">
              <c:v>Piazza Cairoli, Messina - spettri elastici, ag/g</c:v>
            </c:pt>
          </c:strCache>
        </c:strRef>
      </c:tx>
      <c:layout>
        <c:manualLayout>
          <c:xMode val="edge"/>
          <c:yMode val="edge"/>
          <c:x val="0.16933023997000374"/>
          <c:y val="1.7777777777777781E-2"/>
        </c:manualLayout>
      </c:layout>
      <c:overlay val="0"/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5"/>
          <c:order val="0"/>
          <c:tx>
            <c:v/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'Spettri x'!$AA$15:$AA$18</c:f>
              <c:numCache>
                <c:formatCode>General</c:formatCode>
                <c:ptCount val="4"/>
                <c:pt idx="0">
                  <c:v>0.61099999999999999</c:v>
                </c:pt>
                <c:pt idx="1">
                  <c:v>0.61099999999999999</c:v>
                </c:pt>
                <c:pt idx="2">
                  <c:v>0.61099999999999999</c:v>
                </c:pt>
                <c:pt idx="3">
                  <c:v>0.61099999999999999</c:v>
                </c:pt>
              </c:numCache>
            </c:numRef>
          </c:xVal>
          <c:yVal>
            <c:numRef>
              <c:f>'Spettri x'!$AB$15:$AB$18</c:f>
              <c:numCache>
                <c:formatCode>0.000</c:formatCode>
                <c:ptCount val="4"/>
                <c:pt idx="0">
                  <c:v>0.15815286613930676</c:v>
                </c:pt>
                <c:pt idx="1">
                  <c:v>0.21458445911663462</c:v>
                </c:pt>
                <c:pt idx="2">
                  <c:v>0.69895013179366716</c:v>
                </c:pt>
                <c:pt idx="3">
                  <c:v>0.90058030635901176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07-412E-81C1-131533558D44}"/>
            </c:ext>
          </c:extLst>
        </c:ser>
        <c:ser>
          <c:idx val="0"/>
          <c:order val="1"/>
          <c:tx>
            <c:v>SLC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'Spettri x'!$AY$15:$AY$130</c:f>
              <c:numCache>
                <c:formatCode>0.000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9.199860185971169E-2</c:v>
                </c:pt>
                <c:pt idx="3">
                  <c:v>0.18399720371942338</c:v>
                </c:pt>
                <c:pt idx="4">
                  <c:v>0.27599580557913506</c:v>
                </c:pt>
                <c:pt idx="5">
                  <c:v>0.3679944074388467</c:v>
                </c:pt>
                <c:pt idx="6">
                  <c:v>0.45999300929855835</c:v>
                </c:pt>
                <c:pt idx="7">
                  <c:v>0.55199161115827011</c:v>
                </c:pt>
                <c:pt idx="8">
                  <c:v>0.61209182087931335</c:v>
                </c:pt>
                <c:pt idx="9">
                  <c:v>0.67219203060035659</c:v>
                </c:pt>
                <c:pt idx="10">
                  <c:v>0.73229224032139983</c:v>
                </c:pt>
                <c:pt idx="11">
                  <c:v>0.79239245004244308</c:v>
                </c:pt>
                <c:pt idx="12">
                  <c:v>0.85249265976348632</c:v>
                </c:pt>
                <c:pt idx="13">
                  <c:v>0.91259286948452956</c:v>
                </c:pt>
                <c:pt idx="14">
                  <c:v>0.9726930792055728</c:v>
                </c:pt>
                <c:pt idx="15">
                  <c:v>1.032793288926616</c:v>
                </c:pt>
                <c:pt idx="16">
                  <c:v>1.0928934986476593</c:v>
                </c:pt>
                <c:pt idx="17">
                  <c:v>1.1529937083687025</c:v>
                </c:pt>
                <c:pt idx="18">
                  <c:v>1.2130939180897458</c:v>
                </c:pt>
                <c:pt idx="19">
                  <c:v>1.273194127810789</c:v>
                </c:pt>
                <c:pt idx="20">
                  <c:v>1.3332943375318322</c:v>
                </c:pt>
                <c:pt idx="21">
                  <c:v>1.3933945472528755</c:v>
                </c:pt>
                <c:pt idx="22">
                  <c:v>1.4534947569739187</c:v>
                </c:pt>
                <c:pt idx="23">
                  <c:v>1.513594966694962</c:v>
                </c:pt>
                <c:pt idx="24">
                  <c:v>1.5736951764160052</c:v>
                </c:pt>
                <c:pt idx="25">
                  <c:v>1.6337953861370484</c:v>
                </c:pt>
                <c:pt idx="26">
                  <c:v>1.6938955958580917</c:v>
                </c:pt>
                <c:pt idx="27">
                  <c:v>1.7539958055791351</c:v>
                </c:pt>
                <c:pt idx="28">
                  <c:v>1.7539958055791351</c:v>
                </c:pt>
                <c:pt idx="29">
                  <c:v>1.8140960153001784</c:v>
                </c:pt>
                <c:pt idx="30">
                  <c:v>1.8741962250212216</c:v>
                </c:pt>
                <c:pt idx="31">
                  <c:v>1.9342964347422649</c:v>
                </c:pt>
                <c:pt idx="32">
                  <c:v>1.9943966444633081</c:v>
                </c:pt>
                <c:pt idx="33">
                  <c:v>2.0544968541843516</c:v>
                </c:pt>
                <c:pt idx="34">
                  <c:v>2.114597063905395</c:v>
                </c:pt>
                <c:pt idx="35">
                  <c:v>2.1746972736264385</c:v>
                </c:pt>
                <c:pt idx="36">
                  <c:v>2.234797483347482</c:v>
                </c:pt>
                <c:pt idx="37">
                  <c:v>2.2948976930685254</c:v>
                </c:pt>
                <c:pt idx="38">
                  <c:v>2.3549979027895689</c:v>
                </c:pt>
                <c:pt idx="39">
                  <c:v>2.4150981125106123</c:v>
                </c:pt>
                <c:pt idx="40">
                  <c:v>2.4751983222316558</c:v>
                </c:pt>
                <c:pt idx="41">
                  <c:v>2.5352985319526993</c:v>
                </c:pt>
                <c:pt idx="42">
                  <c:v>2.5953987416737427</c:v>
                </c:pt>
                <c:pt idx="43">
                  <c:v>2.6554989513947862</c:v>
                </c:pt>
                <c:pt idx="44">
                  <c:v>2.7155991611158297</c:v>
                </c:pt>
                <c:pt idx="45">
                  <c:v>2.7756993708368731</c:v>
                </c:pt>
                <c:pt idx="46">
                  <c:v>2.8357995805579166</c:v>
                </c:pt>
                <c:pt idx="47">
                  <c:v>2.8958997902789601</c:v>
                </c:pt>
                <c:pt idx="48">
                  <c:v>2.9560000000000004</c:v>
                </c:pt>
                <c:pt idx="49">
                  <c:v>2.9582000000000006</c:v>
                </c:pt>
                <c:pt idx="50">
                  <c:v>2.9604000000000008</c:v>
                </c:pt>
                <c:pt idx="51">
                  <c:v>2.962600000000001</c:v>
                </c:pt>
                <c:pt idx="52">
                  <c:v>2.9648000000000012</c:v>
                </c:pt>
                <c:pt idx="53">
                  <c:v>2.9670000000000014</c:v>
                </c:pt>
                <c:pt idx="54">
                  <c:v>2.9692000000000016</c:v>
                </c:pt>
                <c:pt idx="55">
                  <c:v>2.9714000000000018</c:v>
                </c:pt>
                <c:pt idx="56">
                  <c:v>2.973600000000002</c:v>
                </c:pt>
                <c:pt idx="57">
                  <c:v>2.9758000000000022</c:v>
                </c:pt>
                <c:pt idx="58">
                  <c:v>2.9780000000000024</c:v>
                </c:pt>
                <c:pt idx="59">
                  <c:v>2.9802000000000026</c:v>
                </c:pt>
                <c:pt idx="60">
                  <c:v>2.9824000000000028</c:v>
                </c:pt>
                <c:pt idx="61">
                  <c:v>2.984600000000003</c:v>
                </c:pt>
                <c:pt idx="62">
                  <c:v>2.9868000000000032</c:v>
                </c:pt>
                <c:pt idx="63">
                  <c:v>2.9890000000000034</c:v>
                </c:pt>
                <c:pt idx="64">
                  <c:v>2.9912000000000036</c:v>
                </c:pt>
                <c:pt idx="65">
                  <c:v>2.9934000000000038</c:v>
                </c:pt>
                <c:pt idx="66">
                  <c:v>2.995600000000004</c:v>
                </c:pt>
                <c:pt idx="67">
                  <c:v>2.9978000000000042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</c:numCache>
            </c:numRef>
          </c:xVal>
          <c:yVal>
            <c:numRef>
              <c:f>'Spettri x'!$BA$15:$BA$130</c:f>
              <c:numCache>
                <c:formatCode>0.0000</c:formatCode>
                <c:ptCount val="116"/>
                <c:pt idx="0">
                  <c:v>0.40771089300000007</c:v>
                </c:pt>
                <c:pt idx="1">
                  <c:v>0.40771089300000007</c:v>
                </c:pt>
                <c:pt idx="2">
                  <c:v>0.70228201319250005</c:v>
                </c:pt>
                <c:pt idx="3">
                  <c:v>0.99685313338500015</c:v>
                </c:pt>
                <c:pt idx="4">
                  <c:v>0.99685313338500015</c:v>
                </c:pt>
                <c:pt idx="5">
                  <c:v>0.99685313338500015</c:v>
                </c:pt>
                <c:pt idx="6">
                  <c:v>0.99685313338500015</c:v>
                </c:pt>
                <c:pt idx="7">
                  <c:v>0.99685313338500015</c:v>
                </c:pt>
                <c:pt idx="8">
                  <c:v>0.8989738931568737</c:v>
                </c:pt>
                <c:pt idx="9">
                  <c:v>0.81859727895599399</c:v>
                </c:pt>
                <c:pt idx="10">
                  <c:v>0.75141389856029583</c:v>
                </c:pt>
                <c:pt idx="11">
                  <c:v>0.69442176935921429</c:v>
                </c:pt>
                <c:pt idx="12">
                  <c:v>0.64546546047448383</c:v>
                </c:pt>
                <c:pt idx="13">
                  <c:v>0.60295733791582529</c:v>
                </c:pt>
                <c:pt idx="14">
                  <c:v>0.56570215101639798</c:v>
                </c:pt>
                <c:pt idx="15">
                  <c:v>0.53278286476593661</c:v>
                </c:pt>
                <c:pt idx="16">
                  <c:v>0.50348416187509426</c:v>
                </c:pt>
                <c:pt idx="17">
                  <c:v>0.47723986973344057</c:v>
                </c:pt>
                <c:pt idx="18">
                  <c:v>0.45359601509818781</c:v>
                </c:pt>
                <c:pt idx="19">
                  <c:v>0.43218434264341044</c:v>
                </c:pt>
                <c:pt idx="20">
                  <c:v>0.41270299565209012</c:v>
                </c:pt>
                <c:pt idx="21">
                  <c:v>0.39490219641680213</c:v>
                </c:pt>
                <c:pt idx="22">
                  <c:v>0.37857347922668139</c:v>
                </c:pt>
                <c:pt idx="23">
                  <c:v>0.3635414885045995</c:v>
                </c:pt>
                <c:pt idx="24">
                  <c:v>0.3496576563439226</c:v>
                </c:pt>
                <c:pt idx="25">
                  <c:v>0.33679527550042848</c:v>
                </c:pt>
                <c:pt idx="26">
                  <c:v>0.32484562125956107</c:v>
                </c:pt>
                <c:pt idx="27">
                  <c:v>0.31371487060293901</c:v>
                </c:pt>
                <c:pt idx="28">
                  <c:v>0.31371487060293901</c:v>
                </c:pt>
                <c:pt idx="29">
                  <c:v>0.30332163377488347</c:v>
                </c:pt>
                <c:pt idx="30">
                  <c:v>0.29359496078332226</c:v>
                </c:pt>
                <c:pt idx="31">
                  <c:v>0.28447271953880987</c:v>
                </c:pt>
                <c:pt idx="32">
                  <c:v>0.27590026723767858</c:v>
                </c:pt>
                <c:pt idx="33">
                  <c:v>0.26782935494141252</c:v>
                </c:pt>
                <c:pt idx="34">
                  <c:v>0.26021721895759425</c:v>
                </c:pt>
                <c:pt idx="35">
                  <c:v>0.25302582288511982</c:v>
                </c:pt>
                <c:pt idx="36">
                  <c:v>0.24622122196107679</c:v>
                </c:pt>
                <c:pt idx="37">
                  <c:v>0.23977302728890129</c:v>
                </c:pt>
                <c:pt idx="38">
                  <c:v>0.23365395210482454</c:v>
                </c:pt>
                <c:pt idx="39">
                  <c:v>0.22783942579183239</c:v>
                </c:pt>
                <c:pt idx="40">
                  <c:v>0.22230726412631163</c:v>
                </c:pt>
                <c:pt idx="41">
                  <c:v>0.21703738642626333</c:v>
                </c:pt>
                <c:pt idx="42">
                  <c:v>0.21201157199856824</c:v>
                </c:pt>
                <c:pt idx="43">
                  <c:v>0.20721324965929208</c:v>
                </c:pt>
                <c:pt idx="44">
                  <c:v>0.20262731520334487</c:v>
                </c:pt>
                <c:pt idx="45">
                  <c:v>0.1982399725873247</c:v>
                </c:pt>
                <c:pt idx="46">
                  <c:v>0.19403859530760589</c:v>
                </c:pt>
                <c:pt idx="47">
                  <c:v>0.19001160503981063</c:v>
                </c:pt>
                <c:pt idx="48">
                  <c:v>0.18614836508300273</c:v>
                </c:pt>
                <c:pt idx="49">
                  <c:v>0.18587159263914296</c:v>
                </c:pt>
                <c:pt idx="50">
                  <c:v>0.18559543701034079</c:v>
                </c:pt>
                <c:pt idx="51">
                  <c:v>0.18531989636511145</c:v>
                </c:pt>
                <c:pt idx="52">
                  <c:v>0.18504496887876301</c:v>
                </c:pt>
                <c:pt idx="53">
                  <c:v>0.18477065273336568</c:v>
                </c:pt>
                <c:pt idx="54">
                  <c:v>0.18449694611772235</c:v>
                </c:pt>
                <c:pt idx="55">
                  <c:v>0.18422384722733826</c:v>
                </c:pt>
                <c:pt idx="56">
                  <c:v>0.18395135426439138</c:v>
                </c:pt>
                <c:pt idx="57">
                  <c:v>0.18367946543770289</c:v>
                </c:pt>
                <c:pt idx="58">
                  <c:v>0.18340817896270775</c:v>
                </c:pt>
                <c:pt idx="59">
                  <c:v>0.18313749306142532</c:v>
                </c:pt>
                <c:pt idx="60">
                  <c:v>0.18286740596243017</c:v>
                </c:pt>
                <c:pt idx="61">
                  <c:v>0.18259791590082344</c:v>
                </c:pt>
                <c:pt idx="62">
                  <c:v>0.18232902111820351</c:v>
                </c:pt>
                <c:pt idx="63">
                  <c:v>0.18206071986263778</c:v>
                </c:pt>
                <c:pt idx="64">
                  <c:v>0.18179301038863382</c:v>
                </c:pt>
                <c:pt idx="65">
                  <c:v>0.18152589095711116</c:v>
                </c:pt>
                <c:pt idx="66">
                  <c:v>0.18125935983537292</c:v>
                </c:pt>
                <c:pt idx="67">
                  <c:v>0.18099341529707774</c:v>
                </c:pt>
                <c:pt idx="68">
                  <c:v>0.18072805562221256</c:v>
                </c:pt>
                <c:pt idx="69">
                  <c:v>0.18072805562221256</c:v>
                </c:pt>
                <c:pt idx="70">
                  <c:v>0.18072805562221256</c:v>
                </c:pt>
                <c:pt idx="71">
                  <c:v>0.18072805562221256</c:v>
                </c:pt>
                <c:pt idx="72">
                  <c:v>0.18072805562221256</c:v>
                </c:pt>
                <c:pt idx="73">
                  <c:v>0.18072805562221256</c:v>
                </c:pt>
                <c:pt idx="74">
                  <c:v>0.18072805562221256</c:v>
                </c:pt>
                <c:pt idx="75">
                  <c:v>0.18072805562221256</c:v>
                </c:pt>
                <c:pt idx="76">
                  <c:v>0.18072805562221256</c:v>
                </c:pt>
                <c:pt idx="77">
                  <c:v>0.18072805562221256</c:v>
                </c:pt>
                <c:pt idx="78">
                  <c:v>0.18072805562221256</c:v>
                </c:pt>
                <c:pt idx="79">
                  <c:v>0.18072805562221256</c:v>
                </c:pt>
                <c:pt idx="80">
                  <c:v>0.18072805562221256</c:v>
                </c:pt>
                <c:pt idx="81">
                  <c:v>0.18072805562221256</c:v>
                </c:pt>
                <c:pt idx="82">
                  <c:v>0.18072805562221256</c:v>
                </c:pt>
                <c:pt idx="83">
                  <c:v>0.18072805562221256</c:v>
                </c:pt>
                <c:pt idx="84">
                  <c:v>0.18072805562221256</c:v>
                </c:pt>
                <c:pt idx="85">
                  <c:v>0.18072805562221256</c:v>
                </c:pt>
                <c:pt idx="86">
                  <c:v>0.18072805562221256</c:v>
                </c:pt>
                <c:pt idx="87">
                  <c:v>0.18072805562221256</c:v>
                </c:pt>
                <c:pt idx="88">
                  <c:v>0.18072805562221256</c:v>
                </c:pt>
                <c:pt idx="89">
                  <c:v>0.18072805562221256</c:v>
                </c:pt>
                <c:pt idx="90">
                  <c:v>0.16758870452759356</c:v>
                </c:pt>
                <c:pt idx="91">
                  <c:v>0.15583184387833632</c:v>
                </c:pt>
                <c:pt idx="92">
                  <c:v>0.14527011367492945</c:v>
                </c:pt>
                <c:pt idx="93">
                  <c:v>0.13574685066735076</c:v>
                </c:pt>
                <c:pt idx="94">
                  <c:v>0.12713024516193097</c:v>
                </c:pt>
                <c:pt idx="95">
                  <c:v>0.11930875546935124</c:v>
                </c:pt>
                <c:pt idx="96">
                  <c:v>0.11218747989037252</c:v>
                </c:pt>
                <c:pt idx="97">
                  <c:v>0.10568526436039419</c:v>
                </c:pt>
                <c:pt idx="98">
                  <c:v>9.9732380082135266E-2</c:v>
                </c:pt>
                <c:pt idx="99">
                  <c:v>9.4268646296771383E-2</c:v>
                </c:pt>
                <c:pt idx="100">
                  <c:v>8.924190328752063E-2</c:v>
                </c:pt>
                <c:pt idx="101">
                  <c:v>8.4606762881312858E-2</c:v>
                </c:pt>
                <c:pt idx="102">
                  <c:v>8.0323580276538978E-2</c:v>
                </c:pt>
                <c:pt idx="103">
                  <c:v>7.6357603500384882E-2</c:v>
                </c:pt>
                <c:pt idx="104">
                  <c:v>7.2678266270443673E-2</c:v>
                </c:pt>
                <c:pt idx="105">
                  <c:v>6.9258597279260689E-2</c:v>
                </c:pt>
                <c:pt idx="106">
                  <c:v>6.6074724500062659E-2</c:v>
                </c:pt>
                <c:pt idx="107">
                  <c:v>6.310545743833465E-2</c:v>
                </c:pt>
                <c:pt idx="108">
                  <c:v>6.0331933629933776E-2</c:v>
                </c:pt>
                <c:pt idx="109">
                  <c:v>5.7737318336775006E-2</c:v>
                </c:pt>
                <c:pt idx="110">
                  <c:v>5.5306548483755505E-2</c:v>
                </c:pt>
                <c:pt idx="111">
                  <c:v>5.3026113541933997E-2</c:v>
                </c:pt>
                <c:pt idx="112">
                  <c:v>5.0883867388844622E-2</c:v>
                </c:pt>
                <c:pt idx="113">
                  <c:v>4.8868866240246382E-2</c:v>
                </c:pt>
                <c:pt idx="114">
                  <c:v>4.6971228604619747E-2</c:v>
                </c:pt>
                <c:pt idx="115">
                  <c:v>4.5182013905553139E-2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C07-412E-81C1-131533558D44}"/>
            </c:ext>
          </c:extLst>
        </c:ser>
        <c:ser>
          <c:idx val="1"/>
          <c:order val="2"/>
          <c:tx>
            <c:v>SLV</c:v>
          </c:tx>
          <c:spPr>
            <a:ln w="19050"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'Spettri x'!$AU$15:$AU$130</c:f>
              <c:numCache>
                <c:formatCode>0.000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8.8259349900035824E-2</c:v>
                </c:pt>
                <c:pt idx="3">
                  <c:v>0.17651869980007165</c:v>
                </c:pt>
                <c:pt idx="4">
                  <c:v>0.26477804970010749</c:v>
                </c:pt>
                <c:pt idx="5">
                  <c:v>0.35303739960014335</c:v>
                </c:pt>
                <c:pt idx="6">
                  <c:v>0.44129674950017916</c:v>
                </c:pt>
                <c:pt idx="7">
                  <c:v>0.52955609940021497</c:v>
                </c:pt>
                <c:pt idx="8">
                  <c:v>0.58131719691520956</c:v>
                </c:pt>
                <c:pt idx="9">
                  <c:v>0.63307829443020414</c:v>
                </c:pt>
                <c:pt idx="10">
                  <c:v>0.68483939194519872</c:v>
                </c:pt>
                <c:pt idx="11">
                  <c:v>0.7366004894601933</c:v>
                </c:pt>
                <c:pt idx="12">
                  <c:v>0.78836158697518788</c:v>
                </c:pt>
                <c:pt idx="13">
                  <c:v>0.84012268449018246</c:v>
                </c:pt>
                <c:pt idx="14">
                  <c:v>0.89188378200517704</c:v>
                </c:pt>
                <c:pt idx="15">
                  <c:v>0.94364487952017162</c:v>
                </c:pt>
                <c:pt idx="16">
                  <c:v>0.9954059770351662</c:v>
                </c:pt>
                <c:pt idx="17">
                  <c:v>1.0471670745501609</c:v>
                </c:pt>
                <c:pt idx="18">
                  <c:v>1.0989281720651556</c:v>
                </c:pt>
                <c:pt idx="19">
                  <c:v>1.1506892695801503</c:v>
                </c:pt>
                <c:pt idx="20">
                  <c:v>1.202450367095145</c:v>
                </c:pt>
                <c:pt idx="21">
                  <c:v>1.2542114646101397</c:v>
                </c:pt>
                <c:pt idx="22">
                  <c:v>1.3059725621251344</c:v>
                </c:pt>
                <c:pt idx="23">
                  <c:v>1.357733659640129</c:v>
                </c:pt>
                <c:pt idx="24">
                  <c:v>1.4094947571551237</c:v>
                </c:pt>
                <c:pt idx="25">
                  <c:v>1.4612558546701184</c:v>
                </c:pt>
                <c:pt idx="26">
                  <c:v>1.5130169521851131</c:v>
                </c:pt>
                <c:pt idx="27">
                  <c:v>1.5647780497001076</c:v>
                </c:pt>
                <c:pt idx="28">
                  <c:v>1.5647780497001076</c:v>
                </c:pt>
                <c:pt idx="29">
                  <c:v>1.6165391472151023</c:v>
                </c:pt>
                <c:pt idx="30">
                  <c:v>1.668300244730097</c:v>
                </c:pt>
                <c:pt idx="31">
                  <c:v>1.7200613422450917</c:v>
                </c:pt>
                <c:pt idx="32">
                  <c:v>1.7718224397600864</c:v>
                </c:pt>
                <c:pt idx="33">
                  <c:v>1.823583537275081</c:v>
                </c:pt>
                <c:pt idx="34">
                  <c:v>1.8753446347900757</c:v>
                </c:pt>
                <c:pt idx="35">
                  <c:v>1.9271057323050704</c:v>
                </c:pt>
                <c:pt idx="36">
                  <c:v>1.9788668298200651</c:v>
                </c:pt>
                <c:pt idx="37">
                  <c:v>2.0306279273350598</c:v>
                </c:pt>
                <c:pt idx="38">
                  <c:v>2.0823890248500545</c:v>
                </c:pt>
                <c:pt idx="39">
                  <c:v>2.1341501223650492</c:v>
                </c:pt>
                <c:pt idx="40">
                  <c:v>2.1859112198800439</c:v>
                </c:pt>
                <c:pt idx="41">
                  <c:v>2.2376723173950386</c:v>
                </c:pt>
                <c:pt idx="42">
                  <c:v>2.2894334149100333</c:v>
                </c:pt>
                <c:pt idx="43">
                  <c:v>2.341194512425028</c:v>
                </c:pt>
                <c:pt idx="44">
                  <c:v>2.3929556099400227</c:v>
                </c:pt>
                <c:pt idx="45">
                  <c:v>2.4447167074550173</c:v>
                </c:pt>
                <c:pt idx="46">
                  <c:v>2.496477804970012</c:v>
                </c:pt>
                <c:pt idx="47">
                  <c:v>2.5482389024850067</c:v>
                </c:pt>
                <c:pt idx="48">
                  <c:v>2.6</c:v>
                </c:pt>
                <c:pt idx="49">
                  <c:v>2.62</c:v>
                </c:pt>
                <c:pt idx="50">
                  <c:v>2.64</c:v>
                </c:pt>
                <c:pt idx="51">
                  <c:v>2.66</c:v>
                </c:pt>
                <c:pt idx="52">
                  <c:v>2.68</c:v>
                </c:pt>
                <c:pt idx="53">
                  <c:v>2.7</c:v>
                </c:pt>
                <c:pt idx="54">
                  <c:v>2.72</c:v>
                </c:pt>
                <c:pt idx="55">
                  <c:v>2.74</c:v>
                </c:pt>
                <c:pt idx="56">
                  <c:v>2.7600000000000002</c:v>
                </c:pt>
                <c:pt idx="57">
                  <c:v>2.7800000000000002</c:v>
                </c:pt>
                <c:pt idx="58">
                  <c:v>2.8000000000000003</c:v>
                </c:pt>
                <c:pt idx="59">
                  <c:v>2.8200000000000003</c:v>
                </c:pt>
                <c:pt idx="60">
                  <c:v>2.8400000000000003</c:v>
                </c:pt>
                <c:pt idx="61">
                  <c:v>2.8600000000000003</c:v>
                </c:pt>
                <c:pt idx="62">
                  <c:v>2.8800000000000003</c:v>
                </c:pt>
                <c:pt idx="63">
                  <c:v>2.9000000000000004</c:v>
                </c:pt>
                <c:pt idx="64">
                  <c:v>2.9200000000000004</c:v>
                </c:pt>
                <c:pt idx="65">
                  <c:v>2.9400000000000004</c:v>
                </c:pt>
                <c:pt idx="66">
                  <c:v>2.9600000000000004</c:v>
                </c:pt>
                <c:pt idx="67">
                  <c:v>2.9800000000000004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</c:numCache>
            </c:numRef>
          </c:xVal>
          <c:yVal>
            <c:numRef>
              <c:f>'Spettri x'!$AW$15:$AW$130</c:f>
              <c:numCache>
                <c:formatCode>0.0000</c:formatCode>
                <c:ptCount val="116"/>
                <c:pt idx="0">
                  <c:v>0.33462500000000001</c:v>
                </c:pt>
                <c:pt idx="1">
                  <c:v>0.33462500000000001</c:v>
                </c:pt>
                <c:pt idx="2">
                  <c:v>0.57053562499999999</c:v>
                </c:pt>
                <c:pt idx="3">
                  <c:v>0.80644625000000003</c:v>
                </c:pt>
                <c:pt idx="4">
                  <c:v>0.80644625000000003</c:v>
                </c:pt>
                <c:pt idx="5">
                  <c:v>0.80644625000000003</c:v>
                </c:pt>
                <c:pt idx="6">
                  <c:v>0.80644625000000003</c:v>
                </c:pt>
                <c:pt idx="7">
                  <c:v>0.80644625000000003</c:v>
                </c:pt>
                <c:pt idx="8">
                  <c:v>0.73463942369525503</c:v>
                </c:pt>
                <c:pt idx="9">
                  <c:v>0.67457458940414383</c:v>
                </c:pt>
                <c:pt idx="10">
                  <c:v>0.62358931969863107</c:v>
                </c:pt>
                <c:pt idx="11">
                  <c:v>0.57976954487078081</c:v>
                </c:pt>
                <c:pt idx="12">
                  <c:v>0.54170388002348402</c:v>
                </c:pt>
                <c:pt idx="13">
                  <c:v>0.50832876960712658</c:v>
                </c:pt>
                <c:pt idx="14">
                  <c:v>0.47882755482535694</c:v>
                </c:pt>
                <c:pt idx="15">
                  <c:v>0.45256275935400941</c:v>
                </c:pt>
                <c:pt idx="16">
                  <c:v>0.42902950191029776</c:v>
                </c:pt>
                <c:pt idx="17">
                  <c:v>0.40782272562321081</c:v>
                </c:pt>
                <c:pt idx="18">
                  <c:v>0.38861368866664225</c:v>
                </c:pt>
                <c:pt idx="19">
                  <c:v>0.37113279997974657</c:v>
                </c:pt>
                <c:pt idx="20">
                  <c:v>0.35515688814467239</c:v>
                </c:pt>
                <c:pt idx="21">
                  <c:v>0.34049962273202306</c:v>
                </c:pt>
                <c:pt idx="22">
                  <c:v>0.3270042134966471</c:v>
                </c:pt>
                <c:pt idx="23">
                  <c:v>0.31453777955178902</c:v>
                </c:pt>
                <c:pt idx="24">
                  <c:v>0.30298695923345687</c:v>
                </c:pt>
                <c:pt idx="25">
                  <c:v>0.29225445301797609</c:v>
                </c:pt>
                <c:pt idx="26">
                  <c:v>0.28225627605108372</c:v>
                </c:pt>
                <c:pt idx="27">
                  <c:v>0.2729195559765023</c:v>
                </c:pt>
                <c:pt idx="28">
                  <c:v>0.2729195559765023</c:v>
                </c:pt>
                <c:pt idx="29">
                  <c:v>0.26418075384171613</c:v>
                </c:pt>
                <c:pt idx="30">
                  <c:v>0.25598421619546158</c:v>
                </c:pt>
                <c:pt idx="31">
                  <c:v>0.24828098861202069</c:v>
                </c:pt>
                <c:pt idx="32">
                  <c:v>0.24102783718201271</c:v>
                </c:pt>
                <c:pt idx="33">
                  <c:v>0.23418643664883579</c:v>
                </c:pt>
                <c:pt idx="34">
                  <c:v>0.2277226929938321</c:v>
                </c:pt>
                <c:pt idx="35">
                  <c:v>0.22160617519159823</c:v>
                </c:pt>
                <c:pt idx="36">
                  <c:v>0.21580963614654267</c:v>
                </c:pt>
                <c:pt idx="37">
                  <c:v>0.2103086068979611</c:v>
                </c:pt>
                <c:pt idx="38">
                  <c:v>0.20508105134518831</c:v>
                </c:pt>
                <c:pt idx="39">
                  <c:v>0.20010707121796453</c:v>
                </c:pt>
                <c:pt idx="40">
                  <c:v>0.19536865296357567</c:v>
                </c:pt>
                <c:pt idx="41">
                  <c:v>0.19084944976353199</c:v>
                </c:pt>
                <c:pt idx="42">
                  <c:v>0.18653459312015525</c:v>
                </c:pt>
                <c:pt idx="43">
                  <c:v>0.18241052943677882</c:v>
                </c:pt>
                <c:pt idx="44">
                  <c:v>0.17846487780717105</c:v>
                </c:pt>
                <c:pt idx="45">
                  <c:v>0.17468630587079526</c:v>
                </c:pt>
                <c:pt idx="46">
                  <c:v>0.1710644211119115</c:v>
                </c:pt>
                <c:pt idx="47">
                  <c:v>0.16758967540659911</c:v>
                </c:pt>
                <c:pt idx="48">
                  <c:v>0.16425328097151176</c:v>
                </c:pt>
                <c:pt idx="49">
                  <c:v>0.16175516860430911</c:v>
                </c:pt>
                <c:pt idx="50">
                  <c:v>0.15931361618563755</c:v>
                </c:pt>
                <c:pt idx="51">
                  <c:v>0.15692692907561473</c:v>
                </c:pt>
                <c:pt idx="52">
                  <c:v>0.15459347563034911</c:v>
                </c:pt>
                <c:pt idx="53">
                  <c:v>0.15231168441254039</c:v>
                </c:pt>
                <c:pt idx="54">
                  <c:v>0.15008004154512047</c:v>
                </c:pt>
                <c:pt idx="55">
                  <c:v>0.14789708819961364</c:v>
                </c:pt>
                <c:pt idx="56">
                  <c:v>0.14576141821143396</c:v>
                </c:pt>
                <c:pt idx="57">
                  <c:v>0.14367167581484128</c:v>
                </c:pt>
                <c:pt idx="58">
                  <c:v>0.14162655349074227</c:v>
                </c:pt>
                <c:pt idx="59">
                  <c:v>0.13962478992095712</c:v>
                </c:pt>
                <c:pt idx="60">
                  <c:v>0.13766516804297502</c:v>
                </c:pt>
                <c:pt idx="61">
                  <c:v>0.13574651319959646</c:v>
                </c:pt>
                <c:pt idx="62">
                  <c:v>0.13386769137820934</c:v>
                </c:pt>
                <c:pt idx="63">
                  <c:v>0.13202760753477044</c:v>
                </c:pt>
                <c:pt idx="64">
                  <c:v>0.13022520399786772</c:v>
                </c:pt>
                <c:pt idx="65">
                  <c:v>0.12845945894851904</c:v>
                </c:pt>
                <c:pt idx="66">
                  <c:v>0.12672938497162839</c:v>
                </c:pt>
                <c:pt idx="67">
                  <c:v>0.12503402767526453</c:v>
                </c:pt>
                <c:pt idx="68">
                  <c:v>0.12337246437415773</c:v>
                </c:pt>
                <c:pt idx="69">
                  <c:v>0.12337246437415773</c:v>
                </c:pt>
                <c:pt idx="70">
                  <c:v>0.12337246437415773</c:v>
                </c:pt>
                <c:pt idx="71">
                  <c:v>0.12337246437415773</c:v>
                </c:pt>
                <c:pt idx="72">
                  <c:v>0.12337246437415773</c:v>
                </c:pt>
                <c:pt idx="73">
                  <c:v>0.12337246437415773</c:v>
                </c:pt>
                <c:pt idx="74">
                  <c:v>0.12337246437415773</c:v>
                </c:pt>
                <c:pt idx="75">
                  <c:v>0.12337246437415773</c:v>
                </c:pt>
                <c:pt idx="76">
                  <c:v>0.12337246437415773</c:v>
                </c:pt>
                <c:pt idx="77">
                  <c:v>0.12337246437415773</c:v>
                </c:pt>
                <c:pt idx="78">
                  <c:v>0.12337246437415773</c:v>
                </c:pt>
                <c:pt idx="79">
                  <c:v>0.12337246437415773</c:v>
                </c:pt>
                <c:pt idx="80">
                  <c:v>0.12337246437415773</c:v>
                </c:pt>
                <c:pt idx="81">
                  <c:v>0.12337246437415773</c:v>
                </c:pt>
                <c:pt idx="82">
                  <c:v>0.12337246437415773</c:v>
                </c:pt>
                <c:pt idx="83">
                  <c:v>0.12337246437415773</c:v>
                </c:pt>
                <c:pt idx="84">
                  <c:v>0.12337246437415773</c:v>
                </c:pt>
                <c:pt idx="85">
                  <c:v>0.12337246437415773</c:v>
                </c:pt>
                <c:pt idx="86">
                  <c:v>0.12337246437415773</c:v>
                </c:pt>
                <c:pt idx="87">
                  <c:v>0.12337246437415773</c:v>
                </c:pt>
                <c:pt idx="88">
                  <c:v>0.12337246437415773</c:v>
                </c:pt>
                <c:pt idx="89">
                  <c:v>0.12337246437415773</c:v>
                </c:pt>
                <c:pt idx="90">
                  <c:v>0.11440299851430813</c:v>
                </c:pt>
                <c:pt idx="91">
                  <c:v>0.10637727795526865</c:v>
                </c:pt>
                <c:pt idx="92">
                  <c:v>9.9167402992783135E-2</c:v>
                </c:pt>
                <c:pt idx="93">
                  <c:v>9.2666428796589581E-2</c:v>
                </c:pt>
                <c:pt idx="94">
                  <c:v>8.6784376604506358E-2</c:v>
                </c:pt>
                <c:pt idx="95">
                  <c:v>8.144510343450255E-2</c:v>
                </c:pt>
                <c:pt idx="96">
                  <c:v>7.6583825451726928E-2</c:v>
                </c:pt>
                <c:pt idx="97">
                  <c:v>7.2145143526756592E-2</c:v>
                </c:pt>
                <c:pt idx="98">
                  <c:v>6.8081457891371946E-2</c:v>
                </c:pt>
                <c:pt idx="99">
                  <c:v>6.435168666429833E-2</c:v>
                </c:pt>
                <c:pt idx="100">
                  <c:v>6.0920223460139269E-2</c:v>
                </c:pt>
                <c:pt idx="101">
                  <c:v>5.7756084430007397E-2</c:v>
                </c:pt>
                <c:pt idx="102">
                  <c:v>5.4832206388514583E-2</c:v>
                </c:pt>
                <c:pt idx="103">
                  <c:v>5.2124866198081689E-2</c:v>
                </c:pt>
                <c:pt idx="104">
                  <c:v>4.9613198046954618E-2</c:v>
                </c:pt>
                <c:pt idx="105">
                  <c:v>4.7278790202341686E-2</c:v>
                </c:pt>
                <c:pt idx="106">
                  <c:v>4.5105346628951187E-2</c:v>
                </c:pt>
                <c:pt idx="107">
                  <c:v>4.3078401816596459E-2</c:v>
                </c:pt>
                <c:pt idx="108">
                  <c:v>4.1185079465150994E-2</c:v>
                </c:pt>
                <c:pt idx="109">
                  <c:v>3.9413887484371822E-2</c:v>
                </c:pt>
                <c:pt idx="110">
                  <c:v>3.7754543194626879E-2</c:v>
                </c:pt>
                <c:pt idx="111">
                  <c:v>3.6197823748667875E-2</c:v>
                </c:pt>
                <c:pt idx="112">
                  <c:v>3.4735437699679635E-2</c:v>
                </c:pt>
                <c:pt idx="113">
                  <c:v>3.3359914366772325E-2</c:v>
                </c:pt>
                <c:pt idx="114">
                  <c:v>3.2064508234114115E-2</c:v>
                </c:pt>
                <c:pt idx="115">
                  <c:v>3.0843116093539433E-2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C07-412E-81C1-131533558D44}"/>
            </c:ext>
          </c:extLst>
        </c:ser>
        <c:ser>
          <c:idx val="2"/>
          <c:order val="3"/>
          <c:tx>
            <c:v>SLD</c:v>
          </c:tx>
          <c:spPr>
            <a:ln w="12700"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'Spettri x'!$AQ$15:$AQ$130</c:f>
              <c:numCache>
                <c:formatCode>0.000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7.6708688772966063E-2</c:v>
                </c:pt>
                <c:pt idx="3">
                  <c:v>0.15341737754593213</c:v>
                </c:pt>
                <c:pt idx="4">
                  <c:v>0.23012606631889818</c:v>
                </c:pt>
                <c:pt idx="5">
                  <c:v>0.3068347550918642</c:v>
                </c:pt>
                <c:pt idx="6">
                  <c:v>0.38354344386483025</c:v>
                </c:pt>
                <c:pt idx="7">
                  <c:v>0.46025213263779635</c:v>
                </c:pt>
                <c:pt idx="8">
                  <c:v>0.49694582932185144</c:v>
                </c:pt>
                <c:pt idx="9">
                  <c:v>0.53363952600590658</c:v>
                </c:pt>
                <c:pt idx="10">
                  <c:v>0.57033322268996167</c:v>
                </c:pt>
                <c:pt idx="11">
                  <c:v>0.60702691937401676</c:v>
                </c:pt>
                <c:pt idx="12">
                  <c:v>0.64372061605807185</c:v>
                </c:pt>
                <c:pt idx="13">
                  <c:v>0.68041431274212694</c:v>
                </c:pt>
                <c:pt idx="14">
                  <c:v>0.71710800942618202</c:v>
                </c:pt>
                <c:pt idx="15">
                  <c:v>0.75380170611023711</c:v>
                </c:pt>
                <c:pt idx="16">
                  <c:v>0.7904954027942922</c:v>
                </c:pt>
                <c:pt idx="17">
                  <c:v>0.82718909947834729</c:v>
                </c:pt>
                <c:pt idx="18">
                  <c:v>0.86388279616240238</c:v>
                </c:pt>
                <c:pt idx="19">
                  <c:v>0.90057649284645747</c:v>
                </c:pt>
                <c:pt idx="20">
                  <c:v>0.93727018953051255</c:v>
                </c:pt>
                <c:pt idx="21">
                  <c:v>0.97396388621456764</c:v>
                </c:pt>
                <c:pt idx="22">
                  <c:v>1.0106575828986228</c:v>
                </c:pt>
                <c:pt idx="23">
                  <c:v>1.0473512795826778</c:v>
                </c:pt>
                <c:pt idx="24">
                  <c:v>1.0840449762667328</c:v>
                </c:pt>
                <c:pt idx="25">
                  <c:v>1.1207386729507878</c:v>
                </c:pt>
                <c:pt idx="26">
                  <c:v>1.1574323696348428</c:v>
                </c:pt>
                <c:pt idx="27">
                  <c:v>1.1941260663188982</c:v>
                </c:pt>
                <c:pt idx="28">
                  <c:v>1.1941260663188982</c:v>
                </c:pt>
                <c:pt idx="29">
                  <c:v>1.2308197630029534</c:v>
                </c:pt>
                <c:pt idx="30">
                  <c:v>1.2675134596870086</c:v>
                </c:pt>
                <c:pt idx="31">
                  <c:v>1.3042071563710638</c:v>
                </c:pt>
                <c:pt idx="32">
                  <c:v>1.340900853055119</c:v>
                </c:pt>
                <c:pt idx="33">
                  <c:v>1.3775945497391742</c:v>
                </c:pt>
                <c:pt idx="34">
                  <c:v>1.4142882464232294</c:v>
                </c:pt>
                <c:pt idx="35">
                  <c:v>1.4509819431072846</c:v>
                </c:pt>
                <c:pt idx="36">
                  <c:v>1.4876756397913398</c:v>
                </c:pt>
                <c:pt idx="37">
                  <c:v>1.524369336475395</c:v>
                </c:pt>
                <c:pt idx="38">
                  <c:v>1.5610630331594502</c:v>
                </c:pt>
                <c:pt idx="39">
                  <c:v>1.5977567298435054</c:v>
                </c:pt>
                <c:pt idx="40">
                  <c:v>1.6344504265275606</c:v>
                </c:pt>
                <c:pt idx="41">
                  <c:v>1.6711441232116158</c:v>
                </c:pt>
                <c:pt idx="42">
                  <c:v>1.707837819895671</c:v>
                </c:pt>
                <c:pt idx="43">
                  <c:v>1.7445315165797262</c:v>
                </c:pt>
                <c:pt idx="44">
                  <c:v>1.7812252132637814</c:v>
                </c:pt>
                <c:pt idx="45">
                  <c:v>1.8179189099478366</c:v>
                </c:pt>
                <c:pt idx="46">
                  <c:v>1.8546126066318918</c:v>
                </c:pt>
                <c:pt idx="47">
                  <c:v>1.891306303315947</c:v>
                </c:pt>
                <c:pt idx="48">
                  <c:v>1.9280000000000002</c:v>
                </c:pt>
                <c:pt idx="49">
                  <c:v>1.9816000000000003</c:v>
                </c:pt>
                <c:pt idx="50">
                  <c:v>2.0352000000000001</c:v>
                </c:pt>
                <c:pt idx="51">
                  <c:v>2.0888</c:v>
                </c:pt>
                <c:pt idx="52">
                  <c:v>2.1423999999999999</c:v>
                </c:pt>
                <c:pt idx="53">
                  <c:v>2.1959999999999997</c:v>
                </c:pt>
                <c:pt idx="54">
                  <c:v>2.2495999999999996</c:v>
                </c:pt>
                <c:pt idx="55">
                  <c:v>2.3031999999999995</c:v>
                </c:pt>
                <c:pt idx="56">
                  <c:v>2.3567999999999993</c:v>
                </c:pt>
                <c:pt idx="57">
                  <c:v>2.4103999999999992</c:v>
                </c:pt>
                <c:pt idx="58">
                  <c:v>2.4639999999999991</c:v>
                </c:pt>
                <c:pt idx="59">
                  <c:v>2.5175999999999989</c:v>
                </c:pt>
                <c:pt idx="60">
                  <c:v>2.5711999999999988</c:v>
                </c:pt>
                <c:pt idx="61">
                  <c:v>2.6247999999999987</c:v>
                </c:pt>
                <c:pt idx="62">
                  <c:v>2.6783999999999986</c:v>
                </c:pt>
                <c:pt idx="63">
                  <c:v>2.7319999999999984</c:v>
                </c:pt>
                <c:pt idx="64">
                  <c:v>2.7855999999999983</c:v>
                </c:pt>
                <c:pt idx="65">
                  <c:v>2.8391999999999982</c:v>
                </c:pt>
                <c:pt idx="66">
                  <c:v>2.892799999999998</c:v>
                </c:pt>
                <c:pt idx="67">
                  <c:v>2.9463999999999979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</c:numCache>
            </c:numRef>
          </c:xVal>
          <c:yVal>
            <c:numRef>
              <c:f>'Spettri x'!$AS$15:$AS$130</c:f>
              <c:numCache>
                <c:formatCode>0.0000</c:formatCode>
                <c:ptCount val="116"/>
                <c:pt idx="0">
                  <c:v>0.123</c:v>
                </c:pt>
                <c:pt idx="1">
                  <c:v>0.123</c:v>
                </c:pt>
                <c:pt idx="2">
                  <c:v>0.20393399999999998</c:v>
                </c:pt>
                <c:pt idx="3">
                  <c:v>0.28486799999999995</c:v>
                </c:pt>
                <c:pt idx="4">
                  <c:v>0.28486799999999995</c:v>
                </c:pt>
                <c:pt idx="5">
                  <c:v>0.28486799999999995</c:v>
                </c:pt>
                <c:pt idx="6">
                  <c:v>0.28486799999999995</c:v>
                </c:pt>
                <c:pt idx="7">
                  <c:v>0.28486799999999995</c:v>
                </c:pt>
                <c:pt idx="8">
                  <c:v>0.2638337959273796</c:v>
                </c:pt>
                <c:pt idx="9">
                  <c:v>0.24569226627866497</c:v>
                </c:pt>
                <c:pt idx="10">
                  <c:v>0.22988509051231781</c:v>
                </c:pt>
                <c:pt idx="11">
                  <c:v>0.21598894601819177</c:v>
                </c:pt>
                <c:pt idx="12">
                  <c:v>0.2036770320067485</c:v>
                </c:pt>
                <c:pt idx="13">
                  <c:v>0.1926930431428977</c:v>
                </c:pt>
                <c:pt idx="14">
                  <c:v>0.18283313363795323</c:v>
                </c:pt>
                <c:pt idx="15">
                  <c:v>0.17393314907288079</c:v>
                </c:pt>
                <c:pt idx="16">
                  <c:v>0.16585941430753942</c:v>
                </c:pt>
                <c:pt idx="17">
                  <c:v>0.15850197325248452</c:v>
                </c:pt>
                <c:pt idx="18">
                  <c:v>0.15176955149783539</c:v>
                </c:pt>
                <c:pt idx="19">
                  <c:v>0.14558575041844599</c:v>
                </c:pt>
                <c:pt idx="20">
                  <c:v>0.13988613527326474</c:v>
                </c:pt>
                <c:pt idx="21">
                  <c:v>0.13461598153278911</c:v>
                </c:pt>
                <c:pt idx="22">
                  <c:v>0.12972851214773429</c:v>
                </c:pt>
                <c:pt idx="23">
                  <c:v>0.12518350535887598</c:v>
                </c:pt>
                <c:pt idx="24">
                  <c:v>0.12094618525126899</c:v>
                </c:pt>
                <c:pt idx="25">
                  <c:v>0.11698633025222724</c:v>
                </c:pt>
                <c:pt idx="26">
                  <c:v>0.11327755120727086</c:v>
                </c:pt>
                <c:pt idx="27">
                  <c:v>0.10979670255791049</c:v>
                </c:pt>
                <c:pt idx="28">
                  <c:v>0.10979670255791049</c:v>
                </c:pt>
                <c:pt idx="29">
                  <c:v>0.10652339884466833</c:v>
                </c:pt>
                <c:pt idx="30">
                  <c:v>0.10343961519165207</c:v>
                </c:pt>
                <c:pt idx="31">
                  <c:v>0.1005293552330125</c:v>
                </c:pt>
                <c:pt idx="32">
                  <c:v>9.7778373562474208E-2</c:v>
                </c:pt>
                <c:pt idx="33">
                  <c:v>9.5173942539978532E-2</c:v>
                </c:pt>
                <c:pt idx="34">
                  <c:v>9.2704655399524841E-2</c:v>
                </c:pt>
                <c:pt idx="35">
                  <c:v>9.0360259232095411E-2</c:v>
                </c:pt>
                <c:pt idx="36">
                  <c:v>8.813151268555644E-2</c:v>
                </c:pt>
                <c:pt idx="37">
                  <c:v>8.6010064216730617E-2</c:v>
                </c:pt>
                <c:pt idx="38">
                  <c:v>8.3988347514005732E-2</c:v>
                </c:pt>
                <c:pt idx="39">
                  <c:v>8.2059491330138609E-2</c:v>
                </c:pt>
                <c:pt idx="40">
                  <c:v>8.0217241460674507E-2</c:v>
                </c:pt>
                <c:pt idx="41">
                  <c:v>7.8455893001193447E-2</c:v>
                </c:pt>
                <c:pt idx="42">
                  <c:v>7.6770231337465702E-2</c:v>
                </c:pt>
                <c:pt idx="43">
                  <c:v>7.5155480582727488E-2</c:v>
                </c:pt>
                <c:pt idx="44">
                  <c:v>7.360725838818874E-2</c:v>
                </c:pt>
                <c:pt idx="45">
                  <c:v>7.2121536226291777E-2</c:v>
                </c:pt>
                <c:pt idx="46">
                  <c:v>7.0694604388768192E-2</c:v>
                </c:pt>
                <c:pt idx="47">
                  <c:v>6.9323041059183396E-2</c:v>
                </c:pt>
                <c:pt idx="48">
                  <c:v>6.800368491714924E-2</c:v>
                </c:pt>
                <c:pt idx="49">
                  <c:v>6.4374596284573746E-2</c:v>
                </c:pt>
                <c:pt idx="50">
                  <c:v>6.1028446876992382E-2</c:v>
                </c:pt>
                <c:pt idx="51">
                  <c:v>5.7936571032417949E-2</c:v>
                </c:pt>
                <c:pt idx="52">
                  <c:v>5.5073843516710248E-2</c:v>
                </c:pt>
                <c:pt idx="53">
                  <c:v>5.241816747353787E-2</c:v>
                </c:pt>
                <c:pt idx="54">
                  <c:v>4.9950046737222351E-2</c:v>
                </c:pt>
                <c:pt idx="55">
                  <c:v>4.7652226989598742E-2</c:v>
                </c:pt>
                <c:pt idx="56">
                  <c:v>4.5509393381304164E-2</c:v>
                </c:pt>
                <c:pt idx="57">
                  <c:v>4.3507914687124109E-2</c:v>
                </c:pt>
                <c:pt idx="58">
                  <c:v>4.1635625987444642E-2</c:v>
                </c:pt>
                <c:pt idx="59">
                  <c:v>3.9881643385486533E-2</c:v>
                </c:pt>
                <c:pt idx="60">
                  <c:v>3.8236205474657475E-2</c:v>
                </c:pt>
                <c:pt idx="61">
                  <c:v>3.6690537231606778E-2</c:v>
                </c:pt>
                <c:pt idx="62">
                  <c:v>3.5236732781433286E-2</c:v>
                </c:pt>
                <c:pt idx="63">
                  <c:v>3.3867654102651509E-2</c:v>
                </c:pt>
                <c:pt idx="64">
                  <c:v>3.2576843242336236E-2</c:v>
                </c:pt>
                <c:pt idx="65">
                  <c:v>3.135844602067811E-2</c:v>
                </c:pt>
                <c:pt idx="66">
                  <c:v>3.0207145537967862E-2</c:v>
                </c:pt>
                <c:pt idx="67">
                  <c:v>2.9118104070657964E-2</c:v>
                </c:pt>
                <c:pt idx="68">
                  <c:v>2.8086912168340947E-2</c:v>
                </c:pt>
                <c:pt idx="69">
                  <c:v>2.8086912168340947E-2</c:v>
                </c:pt>
                <c:pt idx="70">
                  <c:v>2.8086912168340947E-2</c:v>
                </c:pt>
                <c:pt idx="71">
                  <c:v>2.8086912168340947E-2</c:v>
                </c:pt>
                <c:pt idx="72">
                  <c:v>2.8086912168340947E-2</c:v>
                </c:pt>
                <c:pt idx="73">
                  <c:v>2.8086912168340947E-2</c:v>
                </c:pt>
                <c:pt idx="74">
                  <c:v>2.8086912168340947E-2</c:v>
                </c:pt>
                <c:pt idx="75">
                  <c:v>2.8086912168340947E-2</c:v>
                </c:pt>
                <c:pt idx="76">
                  <c:v>2.8086912168340947E-2</c:v>
                </c:pt>
                <c:pt idx="77">
                  <c:v>2.8086912168340947E-2</c:v>
                </c:pt>
                <c:pt idx="78">
                  <c:v>2.8086912168340947E-2</c:v>
                </c:pt>
                <c:pt idx="79">
                  <c:v>2.8086912168340947E-2</c:v>
                </c:pt>
                <c:pt idx="80">
                  <c:v>2.8086912168340947E-2</c:v>
                </c:pt>
                <c:pt idx="81">
                  <c:v>2.8086912168340947E-2</c:v>
                </c:pt>
                <c:pt idx="82">
                  <c:v>2.8086912168340947E-2</c:v>
                </c:pt>
                <c:pt idx="83">
                  <c:v>2.8086912168340947E-2</c:v>
                </c:pt>
                <c:pt idx="84">
                  <c:v>2.8086912168340947E-2</c:v>
                </c:pt>
                <c:pt idx="85">
                  <c:v>2.8086912168340947E-2</c:v>
                </c:pt>
                <c:pt idx="86">
                  <c:v>2.8086912168340947E-2</c:v>
                </c:pt>
                <c:pt idx="87">
                  <c:v>2.8086912168340947E-2</c:v>
                </c:pt>
                <c:pt idx="88">
                  <c:v>2.8086912168340947E-2</c:v>
                </c:pt>
                <c:pt idx="89">
                  <c:v>2.8086912168340947E-2</c:v>
                </c:pt>
                <c:pt idx="90">
                  <c:v>2.6044928156102168E-2</c:v>
                </c:pt>
                <c:pt idx="91">
                  <c:v>2.4217796716579691E-2</c:v>
                </c:pt>
                <c:pt idx="92">
                  <c:v>2.2576400268488082E-2</c:v>
                </c:pt>
                <c:pt idx="93">
                  <c:v>2.1096391806442755E-2</c:v>
                </c:pt>
                <c:pt idx="94">
                  <c:v>1.9757286811444827E-2</c:v>
                </c:pt>
                <c:pt idx="95">
                  <c:v>1.8541750611131325E-2</c:v>
                </c:pt>
                <c:pt idx="96">
                  <c:v>1.7435034550779136E-2</c:v>
                </c:pt>
                <c:pt idx="97">
                  <c:v>1.6424526492905257E-2</c:v>
                </c:pt>
                <c:pt idx="98">
                  <c:v>1.5499389898611006E-2</c:v>
                </c:pt>
                <c:pt idx="99">
                  <c:v>1.4650272087807472E-2</c:v>
                </c:pt>
                <c:pt idx="100">
                  <c:v>1.3869066928998166E-2</c:v>
                </c:pt>
                <c:pt idx="101">
                  <c:v>1.3148720654985105E-2</c:v>
                </c:pt>
                <c:pt idx="102">
                  <c:v>1.2483072074818207E-2</c:v>
                </c:pt>
                <c:pt idx="103">
                  <c:v>1.1866720391124061E-2</c:v>
                </c:pt>
                <c:pt idx="104">
                  <c:v>1.1294915303865853E-2</c:v>
                </c:pt>
                <c:pt idx="105">
                  <c:v>1.0763465207368766E-2</c:v>
                </c:pt>
                <c:pt idx="106">
                  <c:v>1.026866015456923E-2</c:v>
                </c:pt>
                <c:pt idx="107">
                  <c:v>9.8072069348132795E-3</c:v>
                </c:pt>
                <c:pt idx="108">
                  <c:v>9.3761741361967962E-3</c:v>
                </c:pt>
                <c:pt idx="109">
                  <c:v>8.9729454753301099E-3</c:v>
                </c:pt>
                <c:pt idx="110">
                  <c:v>8.5951800026249497E-3</c:v>
                </c:pt>
                <c:pt idx="111">
                  <c:v>8.2407780493917171E-3</c:v>
                </c:pt>
                <c:pt idx="112">
                  <c:v>7.9078519890872639E-3</c:v>
                </c:pt>
                <c:pt idx="113">
                  <c:v>7.5947010503194089E-3</c:v>
                </c:pt>
                <c:pt idx="114">
                  <c:v>7.299789552402354E-3</c:v>
                </c:pt>
                <c:pt idx="115">
                  <c:v>7.0217280420852369E-3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C07-412E-81C1-131533558D44}"/>
            </c:ext>
          </c:extLst>
        </c:ser>
        <c:ser>
          <c:idx val="3"/>
          <c:order val="4"/>
          <c:tx>
            <c:v>SLO</c:v>
          </c:tx>
          <c:spPr>
            <a:ln w="1270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xVal>
            <c:numRef>
              <c:f>'Spettri x'!$AM$15:$AM$130</c:f>
              <c:numCache>
                <c:formatCode>0.000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7.4581983584264488E-2</c:v>
                </c:pt>
                <c:pt idx="3">
                  <c:v>0.14916396716852898</c:v>
                </c:pt>
                <c:pt idx="4">
                  <c:v>0.22374595075279347</c:v>
                </c:pt>
                <c:pt idx="5">
                  <c:v>0.29832793433705795</c:v>
                </c:pt>
                <c:pt idx="6">
                  <c:v>0.37290991792132244</c:v>
                </c:pt>
                <c:pt idx="7">
                  <c:v>0.44749190150558693</c:v>
                </c:pt>
                <c:pt idx="8">
                  <c:v>0.48240460396794727</c:v>
                </c:pt>
                <c:pt idx="9">
                  <c:v>0.5173173064303076</c:v>
                </c:pt>
                <c:pt idx="10">
                  <c:v>0.55223000889266793</c:v>
                </c:pt>
                <c:pt idx="11">
                  <c:v>0.58714271135502827</c:v>
                </c:pt>
                <c:pt idx="12">
                  <c:v>0.6220554138173886</c:v>
                </c:pt>
                <c:pt idx="13">
                  <c:v>0.65696811627974894</c:v>
                </c:pt>
                <c:pt idx="14">
                  <c:v>0.69188081874210927</c:v>
                </c:pt>
                <c:pt idx="15">
                  <c:v>0.72679352120446961</c:v>
                </c:pt>
                <c:pt idx="16">
                  <c:v>0.76170622366682994</c:v>
                </c:pt>
                <c:pt idx="17">
                  <c:v>0.79661892612919027</c:v>
                </c:pt>
                <c:pt idx="18">
                  <c:v>0.83153162859155061</c:v>
                </c:pt>
                <c:pt idx="19">
                  <c:v>0.86644433105391094</c:v>
                </c:pt>
                <c:pt idx="20">
                  <c:v>0.90135703351627128</c:v>
                </c:pt>
                <c:pt idx="21">
                  <c:v>0.93626973597863161</c:v>
                </c:pt>
                <c:pt idx="22">
                  <c:v>0.97118243844099195</c:v>
                </c:pt>
                <c:pt idx="23">
                  <c:v>1.0060951409033523</c:v>
                </c:pt>
                <c:pt idx="24">
                  <c:v>1.0410078433657126</c:v>
                </c:pt>
                <c:pt idx="25">
                  <c:v>1.0759205458280729</c:v>
                </c:pt>
                <c:pt idx="26">
                  <c:v>1.1108332482904333</c:v>
                </c:pt>
                <c:pt idx="27">
                  <c:v>1.1457459507527936</c:v>
                </c:pt>
                <c:pt idx="28">
                  <c:v>1.1457459507527936</c:v>
                </c:pt>
                <c:pt idx="29">
                  <c:v>1.180658653215154</c:v>
                </c:pt>
                <c:pt idx="30">
                  <c:v>1.2155713556775143</c:v>
                </c:pt>
                <c:pt idx="31">
                  <c:v>1.2504840581398746</c:v>
                </c:pt>
                <c:pt idx="32">
                  <c:v>1.285396760602235</c:v>
                </c:pt>
                <c:pt idx="33">
                  <c:v>1.3203094630645953</c:v>
                </c:pt>
                <c:pt idx="34">
                  <c:v>1.3552221655269556</c:v>
                </c:pt>
                <c:pt idx="35">
                  <c:v>1.390134867989316</c:v>
                </c:pt>
                <c:pt idx="36">
                  <c:v>1.4250475704516763</c:v>
                </c:pt>
                <c:pt idx="37">
                  <c:v>1.4599602729140366</c:v>
                </c:pt>
                <c:pt idx="38">
                  <c:v>1.494872975376397</c:v>
                </c:pt>
                <c:pt idx="39">
                  <c:v>1.5297856778387573</c:v>
                </c:pt>
                <c:pt idx="40">
                  <c:v>1.5646983803011176</c:v>
                </c:pt>
                <c:pt idx="41">
                  <c:v>1.599611082763478</c:v>
                </c:pt>
                <c:pt idx="42">
                  <c:v>1.6345237852258383</c:v>
                </c:pt>
                <c:pt idx="43">
                  <c:v>1.6694364876881986</c:v>
                </c:pt>
                <c:pt idx="44">
                  <c:v>1.704349190150559</c:v>
                </c:pt>
                <c:pt idx="45">
                  <c:v>1.7392618926129193</c:v>
                </c:pt>
                <c:pt idx="46">
                  <c:v>1.7741745950752796</c:v>
                </c:pt>
                <c:pt idx="47">
                  <c:v>1.80908729753764</c:v>
                </c:pt>
                <c:pt idx="48">
                  <c:v>1.8440000000000001</c:v>
                </c:pt>
                <c:pt idx="49">
                  <c:v>1.8729</c:v>
                </c:pt>
                <c:pt idx="50">
                  <c:v>1.9017999999999999</c:v>
                </c:pt>
                <c:pt idx="51">
                  <c:v>1.9306999999999999</c:v>
                </c:pt>
                <c:pt idx="52">
                  <c:v>1.9595999999999998</c:v>
                </c:pt>
                <c:pt idx="53">
                  <c:v>1.9884999999999997</c:v>
                </c:pt>
                <c:pt idx="54">
                  <c:v>2.0173999999999999</c:v>
                </c:pt>
                <c:pt idx="55">
                  <c:v>2.0463</c:v>
                </c:pt>
                <c:pt idx="56">
                  <c:v>2.0752000000000002</c:v>
                </c:pt>
                <c:pt idx="57">
                  <c:v>2.1041000000000003</c:v>
                </c:pt>
                <c:pt idx="58">
                  <c:v>2.1330000000000005</c:v>
                </c:pt>
                <c:pt idx="59">
                  <c:v>2.1619000000000006</c:v>
                </c:pt>
                <c:pt idx="60">
                  <c:v>2.1908000000000007</c:v>
                </c:pt>
                <c:pt idx="61">
                  <c:v>2.2197000000000009</c:v>
                </c:pt>
                <c:pt idx="62">
                  <c:v>2.248600000000001</c:v>
                </c:pt>
                <c:pt idx="63">
                  <c:v>2.2775000000000012</c:v>
                </c:pt>
                <c:pt idx="64">
                  <c:v>2.3064000000000013</c:v>
                </c:pt>
                <c:pt idx="65">
                  <c:v>2.3353000000000015</c:v>
                </c:pt>
                <c:pt idx="66">
                  <c:v>2.3642000000000016</c:v>
                </c:pt>
                <c:pt idx="67">
                  <c:v>2.3931000000000018</c:v>
                </c:pt>
                <c:pt idx="68">
                  <c:v>2.4220000000000002</c:v>
                </c:pt>
                <c:pt idx="69">
                  <c:v>2.4220000000000002</c:v>
                </c:pt>
                <c:pt idx="70">
                  <c:v>2.4509000000000003</c:v>
                </c:pt>
                <c:pt idx="71">
                  <c:v>2.4798000000000004</c:v>
                </c:pt>
                <c:pt idx="72">
                  <c:v>2.5087000000000006</c:v>
                </c:pt>
                <c:pt idx="73">
                  <c:v>2.5376000000000007</c:v>
                </c:pt>
                <c:pt idx="74">
                  <c:v>2.5665000000000009</c:v>
                </c:pt>
                <c:pt idx="75">
                  <c:v>2.595400000000001</c:v>
                </c:pt>
                <c:pt idx="76">
                  <c:v>2.6243000000000012</c:v>
                </c:pt>
                <c:pt idx="77">
                  <c:v>2.6532000000000013</c:v>
                </c:pt>
                <c:pt idx="78">
                  <c:v>2.6821000000000015</c:v>
                </c:pt>
                <c:pt idx="79">
                  <c:v>2.7110000000000016</c:v>
                </c:pt>
                <c:pt idx="80">
                  <c:v>2.7399000000000018</c:v>
                </c:pt>
                <c:pt idx="81">
                  <c:v>2.7688000000000019</c:v>
                </c:pt>
                <c:pt idx="82">
                  <c:v>2.7977000000000021</c:v>
                </c:pt>
                <c:pt idx="83">
                  <c:v>2.8266000000000022</c:v>
                </c:pt>
                <c:pt idx="84">
                  <c:v>2.8555000000000024</c:v>
                </c:pt>
                <c:pt idx="85">
                  <c:v>2.8844000000000025</c:v>
                </c:pt>
                <c:pt idx="86">
                  <c:v>2.9133000000000027</c:v>
                </c:pt>
                <c:pt idx="87">
                  <c:v>2.9422000000000028</c:v>
                </c:pt>
                <c:pt idx="88">
                  <c:v>2.971100000000003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</c:numCache>
            </c:numRef>
          </c:xVal>
          <c:yVal>
            <c:numRef>
              <c:f>'Spettri x'!$AO$15:$AO$130</c:f>
              <c:numCache>
                <c:formatCode>0.0000</c:formatCode>
                <c:ptCount val="116"/>
                <c:pt idx="0">
                  <c:v>9.1499999999999998E-2</c:v>
                </c:pt>
                <c:pt idx="1">
                  <c:v>9.1499999999999998E-2</c:v>
                </c:pt>
                <c:pt idx="2">
                  <c:v>0.15372</c:v>
                </c:pt>
                <c:pt idx="3">
                  <c:v>0.21593999999999999</c:v>
                </c:pt>
                <c:pt idx="4">
                  <c:v>0.21593999999999999</c:v>
                </c:pt>
                <c:pt idx="5">
                  <c:v>0.21593999999999999</c:v>
                </c:pt>
                <c:pt idx="6">
                  <c:v>0.21593999999999999</c:v>
                </c:pt>
                <c:pt idx="7">
                  <c:v>0.21593999999999999</c:v>
                </c:pt>
                <c:pt idx="8">
                  <c:v>0.20031193818692697</c:v>
                </c:pt>
                <c:pt idx="9">
                  <c:v>0.1867932891669738</c:v>
                </c:pt>
                <c:pt idx="10">
                  <c:v>0.17498397344411218</c:v>
                </c:pt>
                <c:pt idx="11">
                  <c:v>0.16457906969177416</c:v>
                </c:pt>
                <c:pt idx="12">
                  <c:v>0.15534211111211979</c:v>
                </c:pt>
                <c:pt idx="13">
                  <c:v>0.14708689632963715</c:v>
                </c:pt>
                <c:pt idx="14">
                  <c:v>0.13966480728111455</c:v>
                </c:pt>
                <c:pt idx="15">
                  <c:v>0.13295578233963234</c:v>
                </c:pt>
                <c:pt idx="16">
                  <c:v>0.12686177191245188</c:v>
                </c:pt>
                <c:pt idx="17">
                  <c:v>0.12130191493271829</c:v>
                </c:pt>
                <c:pt idx="18">
                  <c:v>0.11620893047061942</c:v>
                </c:pt>
                <c:pt idx="19">
                  <c:v>0.11152638172792655</c:v>
                </c:pt>
                <c:pt idx="20">
                  <c:v>0.10720657588275428</c:v>
                </c:pt>
                <c:pt idx="21">
                  <c:v>0.10320893381234085</c:v>
                </c:pt>
                <c:pt idx="22">
                  <c:v>9.9498711453468752E-2</c:v>
                </c:pt>
                <c:pt idx="23">
                  <c:v>9.6045987384804452E-2</c:v>
                </c:pt>
                <c:pt idx="24">
                  <c:v>9.2824854132409471E-2</c:v>
                </c:pt>
                <c:pt idx="25">
                  <c:v>8.9812766923922732E-2</c:v>
                </c:pt>
                <c:pt idx="26">
                  <c:v>8.699001525191262E-2</c:v>
                </c:pt>
                <c:pt idx="27">
                  <c:v>8.433929105106272E-2</c:v>
                </c:pt>
                <c:pt idx="28">
                  <c:v>8.433929105106272E-2</c:v>
                </c:pt>
                <c:pt idx="29">
                  <c:v>8.1845333490735098E-2</c:v>
                </c:pt>
                <c:pt idx="30">
                  <c:v>7.9494634979497103E-2</c:v>
                </c:pt>
                <c:pt idx="31">
                  <c:v>7.7275196418623668E-2</c:v>
                </c:pt>
                <c:pt idx="32">
                  <c:v>7.5176322341004367E-2</c:v>
                </c:pt>
                <c:pt idx="33">
                  <c:v>7.3188448552677532E-2</c:v>
                </c:pt>
                <c:pt idx="34">
                  <c:v>7.130299641575219E-2</c:v>
                </c:pt>
                <c:pt idx="35">
                  <c:v>6.9512249089099976E-2</c:v>
                </c:pt>
                <c:pt idx="36">
                  <c:v>6.7809245961163667E-2</c:v>
                </c:pt>
                <c:pt idx="37">
                  <c:v>6.6187692229626963E-2</c:v>
                </c:pt>
                <c:pt idx="38">
                  <c:v>6.4641881151664693E-2</c:v>
                </c:pt>
                <c:pt idx="39">
                  <c:v>6.3166626940601808E-2</c:v>
                </c:pt>
                <c:pt idx="40">
                  <c:v>6.1757206646127064E-2</c:v>
                </c:pt>
                <c:pt idx="41">
                  <c:v>6.0409309645552495E-2</c:v>
                </c:pt>
                <c:pt idx="42">
                  <c:v>5.9118993608138347E-2</c:v>
                </c:pt>
                <c:pt idx="43">
                  <c:v>5.7882645984891352E-2</c:v>
                </c:pt>
                <c:pt idx="44">
                  <c:v>5.6696950231531019E-2</c:v>
                </c:pt>
                <c:pt idx="45">
                  <c:v>5.5558856099552453E-2</c:v>
                </c:pt>
                <c:pt idx="46">
                  <c:v>5.4465553435013699E-2</c:v>
                </c:pt>
                <c:pt idx="47">
                  <c:v>5.3414449011190364E-2</c:v>
                </c:pt>
                <c:pt idx="48">
                  <c:v>5.2403145993013246E-2</c:v>
                </c:pt>
                <c:pt idx="49">
                  <c:v>5.0798397779877276E-2</c:v>
                </c:pt>
                <c:pt idx="50">
                  <c:v>4.9266250155010516E-2</c:v>
                </c:pt>
                <c:pt idx="51">
                  <c:v>4.7802388884362709E-2</c:v>
                </c:pt>
                <c:pt idx="52">
                  <c:v>4.6402815499675072E-2</c:v>
                </c:pt>
                <c:pt idx="53">
                  <c:v>4.5063819965378948E-2</c:v>
                </c:pt>
                <c:pt idx="54">
                  <c:v>4.3781956066512688E-2</c:v>
                </c:pt>
                <c:pt idx="55">
                  <c:v>4.25540192124279E-2</c:v>
                </c:pt>
                <c:pt idx="56">
                  <c:v>4.1377026389041026E-2</c:v>
                </c:pt>
                <c:pt idx="57">
                  <c:v>4.0248198025191854E-2</c:v>
                </c:pt>
                <c:pt idx="58">
                  <c:v>3.9164941567060664E-2</c:v>
                </c:pt>
                <c:pt idx="59">
                  <c:v>3.8124836579217329E-2</c:v>
                </c:pt>
                <c:pt idx="60">
                  <c:v>3.7125621212271059E-2</c:v>
                </c:pt>
                <c:pt idx="61">
                  <c:v>3.6165179895717367E-2</c:v>
                </c:pt>
                <c:pt idx="62">
                  <c:v>3.5241532130828604E-2</c:v>
                </c:pt>
                <c:pt idx="63">
                  <c:v>3.4352822272635301E-2</c:v>
                </c:pt>
                <c:pt idx="64">
                  <c:v>3.3497310202478578E-2</c:v>
                </c:pt>
                <c:pt idx="65">
                  <c:v>3.2673362803517486E-2</c:v>
                </c:pt>
                <c:pt idx="66">
                  <c:v>3.1879446161155102E-2</c:v>
                </c:pt>
                <c:pt idx="67">
                  <c:v>3.1114118418776111E-2</c:v>
                </c:pt>
                <c:pt idx="68">
                  <c:v>3.0376023226619104E-2</c:v>
                </c:pt>
                <c:pt idx="69">
                  <c:v>3.0376023226619104E-2</c:v>
                </c:pt>
                <c:pt idx="70">
                  <c:v>2.9663883728165207E-2</c:v>
                </c:pt>
                <c:pt idx="71">
                  <c:v>2.8976497034224884E-2</c:v>
                </c:pt>
                <c:pt idx="72">
                  <c:v>2.8312729140038143E-2</c:v>
                </c:pt>
                <c:pt idx="73">
                  <c:v>2.7671510245258511E-2</c:v>
                </c:pt>
                <c:pt idx="74">
                  <c:v>2.705183044073408E-2</c:v>
                </c:pt>
                <c:pt idx="75">
                  <c:v>2.6452735729595035E-2</c:v>
                </c:pt>
                <c:pt idx="76">
                  <c:v>2.587332435335956E-2</c:v>
                </c:pt>
                <c:pt idx="77">
                  <c:v>2.5312743396625047E-2</c:v>
                </c:pt>
                <c:pt idx="78">
                  <c:v>2.4770185646461249E-2</c:v>
                </c:pt>
                <c:pt idx="79">
                  <c:v>2.4244886684900758E-2</c:v>
                </c:pt>
                <c:pt idx="80">
                  <c:v>2.3736122194962454E-2</c:v>
                </c:pt>
                <c:pt idx="81">
                  <c:v>2.3243205462471443E-2</c:v>
                </c:pt>
                <c:pt idx="82">
                  <c:v>2.276548505757961E-2</c:v>
                </c:pt>
                <c:pt idx="83">
                  <c:v>2.2302342681364135E-2</c:v>
                </c:pt>
                <c:pt idx="84">
                  <c:v>2.1853191164206569E-2</c:v>
                </c:pt>
                <c:pt idx="85">
                  <c:v>2.1417472603848006E-2</c:v>
                </c:pt>
                <c:pt idx="86">
                  <c:v>2.099465663209123E-2</c:v>
                </c:pt>
                <c:pt idx="87">
                  <c:v>2.0584238800090776E-2</c:v>
                </c:pt>
                <c:pt idx="88">
                  <c:v>2.0185739073048194E-2</c:v>
                </c:pt>
                <c:pt idx="89">
                  <c:v>1.9798700425922081E-2</c:v>
                </c:pt>
                <c:pt idx="90">
                  <c:v>1.8359288735148596E-2</c:v>
                </c:pt>
                <c:pt idx="91">
                  <c:v>1.7071328428473628E-2</c:v>
                </c:pt>
                <c:pt idx="92">
                  <c:v>1.591429427814902E-2</c:v>
                </c:pt>
                <c:pt idx="93">
                  <c:v>1.4871023875470362E-2</c:v>
                </c:pt>
                <c:pt idx="94">
                  <c:v>1.3927077510846332E-2</c:v>
                </c:pt>
                <c:pt idx="95">
                  <c:v>1.3070235828050121E-2</c:v>
                </c:pt>
                <c:pt idx="96">
                  <c:v>1.2290102376421787E-2</c:v>
                </c:pt>
                <c:pt idx="97">
                  <c:v>1.1577786754258931E-2</c:v>
                </c:pt>
                <c:pt idx="98">
                  <c:v>1.0925650194223124E-2</c:v>
                </c:pt>
                <c:pt idx="99">
                  <c:v>1.0327099913521088E-2</c:v>
                </c:pt>
                <c:pt idx="100">
                  <c:v>9.7764218319381542E-3</c:v>
                </c:pt>
                <c:pt idx="101">
                  <c:v>9.2686436896976011E-3</c:v>
                </c:pt>
                <c:pt idx="102">
                  <c:v>8.7994224115209314E-3</c:v>
                </c:pt>
                <c:pt idx="103">
                  <c:v>8.364950929952087E-3</c:v>
                </c:pt>
                <c:pt idx="104">
                  <c:v>7.9618807185742654E-3</c:v>
                </c:pt>
                <c:pt idx="105">
                  <c:v>7.5872570793216231E-3</c:v>
                </c:pt>
                <c:pt idx="106">
                  <c:v>7.2384648393311766E-3</c:v>
                </c:pt>
                <c:pt idx="107">
                  <c:v>6.9131825867372659E-3</c:v>
                </c:pt>
                <c:pt idx="108">
                  <c:v>6.6093439446535058E-3</c:v>
                </c:pt>
                <c:pt idx="109">
                  <c:v>6.3251046729316399E-3</c:v>
                </c:pt>
                <c:pt idx="110">
                  <c:v>6.0588146165338847E-3</c:v>
                </c:pt>
                <c:pt idx="111">
                  <c:v>5.8089937013556222E-3</c:v>
                </c:pt>
                <c:pt idx="112">
                  <c:v>5.5743113235832377E-3</c:v>
                </c:pt>
                <c:pt idx="113">
                  <c:v>5.3535685951693422E-3</c:v>
                </c:pt>
                <c:pt idx="114">
                  <c:v>5.1456830018928703E-3</c:v>
                </c:pt>
                <c:pt idx="115">
                  <c:v>4.9496751064805203E-3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C07-412E-81C1-131533558D44}"/>
            </c:ext>
          </c:extLst>
        </c:ser>
        <c:ser>
          <c:idx val="6"/>
          <c:order val="5"/>
          <c:tx>
            <c:v>SLV,v</c:v>
          </c:tx>
          <c:spPr>
            <a:ln w="952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'Spettri x'!$BI$15:$BI$104</c:f>
              <c:numCache>
                <c:formatCode>0.000</c:formatCode>
                <c:ptCount val="90"/>
                <c:pt idx="0">
                  <c:v>0</c:v>
                </c:pt>
                <c:pt idx="1">
                  <c:v>0</c:v>
                </c:pt>
                <c:pt idx="2">
                  <c:v>2.5000000000000001E-2</c:v>
                </c:pt>
                <c:pt idx="3">
                  <c:v>0.05</c:v>
                </c:pt>
                <c:pt idx="4">
                  <c:v>7.4999999999999997E-2</c:v>
                </c:pt>
                <c:pt idx="5">
                  <c:v>9.9999999999999992E-2</c:v>
                </c:pt>
                <c:pt idx="6">
                  <c:v>0.12499999999999999</c:v>
                </c:pt>
                <c:pt idx="7">
                  <c:v>0.15</c:v>
                </c:pt>
                <c:pt idx="8">
                  <c:v>0.17124999999999999</c:v>
                </c:pt>
                <c:pt idx="9">
                  <c:v>0.19249999999999998</c:v>
                </c:pt>
                <c:pt idx="10">
                  <c:v>0.21374999999999997</c:v>
                </c:pt>
                <c:pt idx="11">
                  <c:v>0.23499999999999996</c:v>
                </c:pt>
                <c:pt idx="12">
                  <c:v>0.25624999999999998</c:v>
                </c:pt>
                <c:pt idx="13">
                  <c:v>0.27749999999999997</c:v>
                </c:pt>
                <c:pt idx="14">
                  <c:v>0.29874999999999996</c:v>
                </c:pt>
                <c:pt idx="15">
                  <c:v>0.31999999999999995</c:v>
                </c:pt>
                <c:pt idx="16">
                  <c:v>0.34124999999999994</c:v>
                </c:pt>
                <c:pt idx="17">
                  <c:v>0.36249999999999993</c:v>
                </c:pt>
                <c:pt idx="18">
                  <c:v>0.38374999999999992</c:v>
                </c:pt>
                <c:pt idx="19">
                  <c:v>0.40499999999999992</c:v>
                </c:pt>
                <c:pt idx="20">
                  <c:v>0.42624999999999991</c:v>
                </c:pt>
                <c:pt idx="21">
                  <c:v>0.4474999999999999</c:v>
                </c:pt>
                <c:pt idx="22">
                  <c:v>0.46874999999999989</c:v>
                </c:pt>
                <c:pt idx="23">
                  <c:v>0.48999999999999988</c:v>
                </c:pt>
                <c:pt idx="24">
                  <c:v>0.51124999999999987</c:v>
                </c:pt>
                <c:pt idx="25">
                  <c:v>0.53249999999999986</c:v>
                </c:pt>
                <c:pt idx="26">
                  <c:v>0.55374999999999985</c:v>
                </c:pt>
                <c:pt idx="27">
                  <c:v>0.57499999999999996</c:v>
                </c:pt>
                <c:pt idx="28">
                  <c:v>0.57499999999999996</c:v>
                </c:pt>
                <c:pt idx="29">
                  <c:v>0.59624999999999995</c:v>
                </c:pt>
                <c:pt idx="30">
                  <c:v>0.61749999999999994</c:v>
                </c:pt>
                <c:pt idx="31">
                  <c:v>0.63874999999999993</c:v>
                </c:pt>
                <c:pt idx="32">
                  <c:v>0.65999999999999992</c:v>
                </c:pt>
                <c:pt idx="33">
                  <c:v>0.68124999999999991</c:v>
                </c:pt>
                <c:pt idx="34">
                  <c:v>0.7024999999999999</c:v>
                </c:pt>
                <c:pt idx="35">
                  <c:v>0.72374999999999989</c:v>
                </c:pt>
                <c:pt idx="36">
                  <c:v>0.74499999999999988</c:v>
                </c:pt>
                <c:pt idx="37">
                  <c:v>0.76624999999999988</c:v>
                </c:pt>
                <c:pt idx="38">
                  <c:v>0.78749999999999987</c:v>
                </c:pt>
                <c:pt idx="39">
                  <c:v>0.80874999999999986</c:v>
                </c:pt>
                <c:pt idx="40">
                  <c:v>0.82999999999999985</c:v>
                </c:pt>
                <c:pt idx="41">
                  <c:v>0.85124999999999984</c:v>
                </c:pt>
                <c:pt idx="42">
                  <c:v>0.87249999999999983</c:v>
                </c:pt>
                <c:pt idx="43">
                  <c:v>0.89374999999999982</c:v>
                </c:pt>
                <c:pt idx="44">
                  <c:v>0.91499999999999981</c:v>
                </c:pt>
                <c:pt idx="45">
                  <c:v>0.9362499999999998</c:v>
                </c:pt>
                <c:pt idx="46">
                  <c:v>0.9574999999999998</c:v>
                </c:pt>
                <c:pt idx="47">
                  <c:v>0.97874999999999979</c:v>
                </c:pt>
                <c:pt idx="48">
                  <c:v>1</c:v>
                </c:pt>
                <c:pt idx="49">
                  <c:v>1.05</c:v>
                </c:pt>
                <c:pt idx="50">
                  <c:v>1.1000000000000001</c:v>
                </c:pt>
                <c:pt idx="51">
                  <c:v>1.1500000000000001</c:v>
                </c:pt>
                <c:pt idx="52">
                  <c:v>1.2000000000000002</c:v>
                </c:pt>
                <c:pt idx="53">
                  <c:v>1.2500000000000002</c:v>
                </c:pt>
                <c:pt idx="54">
                  <c:v>1.3000000000000003</c:v>
                </c:pt>
                <c:pt idx="55">
                  <c:v>1.3500000000000003</c:v>
                </c:pt>
                <c:pt idx="56">
                  <c:v>1.4000000000000004</c:v>
                </c:pt>
                <c:pt idx="57">
                  <c:v>1.4500000000000004</c:v>
                </c:pt>
                <c:pt idx="58">
                  <c:v>1.5000000000000004</c:v>
                </c:pt>
                <c:pt idx="59">
                  <c:v>1.5500000000000005</c:v>
                </c:pt>
                <c:pt idx="60">
                  <c:v>1.6000000000000005</c:v>
                </c:pt>
                <c:pt idx="61">
                  <c:v>1.6500000000000006</c:v>
                </c:pt>
                <c:pt idx="62">
                  <c:v>1.7000000000000006</c:v>
                </c:pt>
                <c:pt idx="63">
                  <c:v>1.7500000000000007</c:v>
                </c:pt>
                <c:pt idx="64">
                  <c:v>1.8000000000000007</c:v>
                </c:pt>
                <c:pt idx="65">
                  <c:v>1.8500000000000008</c:v>
                </c:pt>
                <c:pt idx="66">
                  <c:v>1.9000000000000008</c:v>
                </c:pt>
                <c:pt idx="67">
                  <c:v>1.9500000000000008</c:v>
                </c:pt>
                <c:pt idx="68">
                  <c:v>2</c:v>
                </c:pt>
                <c:pt idx="69">
                  <c:v>2</c:v>
                </c:pt>
                <c:pt idx="70">
                  <c:v>2.0499999999999998</c:v>
                </c:pt>
                <c:pt idx="71">
                  <c:v>2.0999999999999996</c:v>
                </c:pt>
                <c:pt idx="72">
                  <c:v>2.1499999999999995</c:v>
                </c:pt>
                <c:pt idx="73">
                  <c:v>2.1999999999999993</c:v>
                </c:pt>
                <c:pt idx="74">
                  <c:v>2.2499999999999991</c:v>
                </c:pt>
                <c:pt idx="75">
                  <c:v>2.2999999999999989</c:v>
                </c:pt>
                <c:pt idx="76">
                  <c:v>2.3499999999999988</c:v>
                </c:pt>
                <c:pt idx="77">
                  <c:v>2.3999999999999986</c:v>
                </c:pt>
                <c:pt idx="78">
                  <c:v>2.4499999999999984</c:v>
                </c:pt>
                <c:pt idx="79">
                  <c:v>2.4999999999999982</c:v>
                </c:pt>
                <c:pt idx="80">
                  <c:v>2.549999999999998</c:v>
                </c:pt>
                <c:pt idx="81">
                  <c:v>2.5999999999999979</c:v>
                </c:pt>
                <c:pt idx="82">
                  <c:v>2.6499999999999977</c:v>
                </c:pt>
                <c:pt idx="83">
                  <c:v>2.6999999999999975</c:v>
                </c:pt>
                <c:pt idx="84">
                  <c:v>2.7499999999999973</c:v>
                </c:pt>
                <c:pt idx="85">
                  <c:v>2.7999999999999972</c:v>
                </c:pt>
                <c:pt idx="86">
                  <c:v>2.849999999999997</c:v>
                </c:pt>
                <c:pt idx="87">
                  <c:v>2.8999999999999968</c:v>
                </c:pt>
                <c:pt idx="88">
                  <c:v>2.9499999999999966</c:v>
                </c:pt>
                <c:pt idx="89">
                  <c:v>3</c:v>
                </c:pt>
              </c:numCache>
            </c:numRef>
          </c:xVal>
          <c:yVal>
            <c:numRef>
              <c:f>'Spettri x'!$BJ$15:$BJ$104</c:f>
              <c:numCache>
                <c:formatCode>0.0000</c:formatCode>
                <c:ptCount val="90"/>
                <c:pt idx="0">
                  <c:v>0.25</c:v>
                </c:pt>
                <c:pt idx="1">
                  <c:v>0.25</c:v>
                </c:pt>
                <c:pt idx="2">
                  <c:v>0.32834375000000005</c:v>
                </c:pt>
                <c:pt idx="3">
                  <c:v>0.40668750000000004</c:v>
                </c:pt>
                <c:pt idx="4">
                  <c:v>0.40668750000000004</c:v>
                </c:pt>
                <c:pt idx="5">
                  <c:v>0.40668750000000004</c:v>
                </c:pt>
                <c:pt idx="6">
                  <c:v>0.40668750000000004</c:v>
                </c:pt>
                <c:pt idx="7">
                  <c:v>0.40668750000000004</c:v>
                </c:pt>
                <c:pt idx="8">
                  <c:v>0.35622262773722635</c:v>
                </c:pt>
                <c:pt idx="9">
                  <c:v>0.31689935064935071</c:v>
                </c:pt>
                <c:pt idx="10">
                  <c:v>0.28539473684210531</c:v>
                </c:pt>
                <c:pt idx="11">
                  <c:v>0.25958776595744687</c:v>
                </c:pt>
                <c:pt idx="12">
                  <c:v>0.23806097560975614</c:v>
                </c:pt>
                <c:pt idx="13">
                  <c:v>0.21983108108108113</c:v>
                </c:pt>
                <c:pt idx="14">
                  <c:v>0.2041945606694561</c:v>
                </c:pt>
                <c:pt idx="15">
                  <c:v>0.19063476562500004</c:v>
                </c:pt>
                <c:pt idx="16">
                  <c:v>0.17876373626373632</c:v>
                </c:pt>
                <c:pt idx="17">
                  <c:v>0.16828448275862073</c:v>
                </c:pt>
                <c:pt idx="18">
                  <c:v>0.15896579804560265</c:v>
                </c:pt>
                <c:pt idx="19">
                  <c:v>0.15062500000000004</c:v>
                </c:pt>
                <c:pt idx="20">
                  <c:v>0.14311583577712614</c:v>
                </c:pt>
                <c:pt idx="21">
                  <c:v>0.13631983240223469</c:v>
                </c:pt>
                <c:pt idx="22">
                  <c:v>0.13014000000000003</c:v>
                </c:pt>
                <c:pt idx="23">
                  <c:v>0.12449617346938779</c:v>
                </c:pt>
                <c:pt idx="24">
                  <c:v>0.11932151589242058</c:v>
                </c:pt>
                <c:pt idx="25">
                  <c:v>0.11455985915492961</c:v>
                </c:pt>
                <c:pt idx="26">
                  <c:v>0.11016365688487588</c:v>
                </c:pt>
                <c:pt idx="27">
                  <c:v>0.10609239130434785</c:v>
                </c:pt>
                <c:pt idx="28">
                  <c:v>0.10609239130434785</c:v>
                </c:pt>
                <c:pt idx="29">
                  <c:v>0.10231132075471699</c:v>
                </c:pt>
                <c:pt idx="30">
                  <c:v>9.8790485829959529E-2</c:v>
                </c:pt>
                <c:pt idx="31">
                  <c:v>9.5503913894324874E-2</c:v>
                </c:pt>
                <c:pt idx="32">
                  <c:v>9.2428977272727295E-2</c:v>
                </c:pt>
                <c:pt idx="33">
                  <c:v>8.9545871559633047E-2</c:v>
                </c:pt>
                <c:pt idx="34">
                  <c:v>8.6837188612099658E-2</c:v>
                </c:pt>
                <c:pt idx="35">
                  <c:v>8.4287564766839393E-2</c:v>
                </c:pt>
                <c:pt idx="36">
                  <c:v>8.1883389261744988E-2</c:v>
                </c:pt>
                <c:pt idx="37">
                  <c:v>7.9612561174551413E-2</c:v>
                </c:pt>
                <c:pt idx="38">
                  <c:v>7.7464285714285736E-2</c:v>
                </c:pt>
                <c:pt idx="39">
                  <c:v>7.5428902627511618E-2</c:v>
                </c:pt>
                <c:pt idx="40">
                  <c:v>7.3497740963855446E-2</c:v>
                </c:pt>
                <c:pt idx="41">
                  <c:v>7.1662995594713674E-2</c:v>
                </c:pt>
                <c:pt idx="42">
                  <c:v>6.9917621776504318E-2</c:v>
                </c:pt>
                <c:pt idx="43">
                  <c:v>6.8255244755244776E-2</c:v>
                </c:pt>
                <c:pt idx="44">
                  <c:v>6.6670081967213135E-2</c:v>
                </c:pt>
                <c:pt idx="45">
                  <c:v>6.5156875834445946E-2</c:v>
                </c:pt>
                <c:pt idx="46">
                  <c:v>6.3710835509138405E-2</c:v>
                </c:pt>
                <c:pt idx="47">
                  <c:v>6.2327586206896574E-2</c:v>
                </c:pt>
                <c:pt idx="48">
                  <c:v>6.1003125000000005E-2</c:v>
                </c:pt>
                <c:pt idx="49">
                  <c:v>5.5331632653061229E-2</c:v>
                </c:pt>
                <c:pt idx="50">
                  <c:v>5.0415805785123967E-2</c:v>
                </c:pt>
                <c:pt idx="51">
                  <c:v>4.6127126654064265E-2</c:v>
                </c:pt>
                <c:pt idx="52">
                  <c:v>4.2363281249999996E-2</c:v>
                </c:pt>
                <c:pt idx="53">
                  <c:v>3.9041999999999993E-2</c:v>
                </c:pt>
                <c:pt idx="54">
                  <c:v>3.6096523668639045E-2</c:v>
                </c:pt>
                <c:pt idx="55">
                  <c:v>3.3472222222222209E-2</c:v>
                </c:pt>
                <c:pt idx="56">
                  <c:v>3.1124043367346924E-2</c:v>
                </c:pt>
                <c:pt idx="57">
                  <c:v>2.9014565992865619E-2</c:v>
                </c:pt>
                <c:pt idx="58">
                  <c:v>2.7112499999999987E-2</c:v>
                </c:pt>
                <c:pt idx="59">
                  <c:v>2.5391519250780422E-2</c:v>
                </c:pt>
                <c:pt idx="60">
                  <c:v>2.3829345703124984E-2</c:v>
                </c:pt>
                <c:pt idx="61">
                  <c:v>2.2407024793388415E-2</c:v>
                </c:pt>
                <c:pt idx="62">
                  <c:v>2.110834775086504E-2</c:v>
                </c:pt>
                <c:pt idx="63">
                  <c:v>1.991938775510203E-2</c:v>
                </c:pt>
                <c:pt idx="64">
                  <c:v>1.8828124999999987E-2</c:v>
                </c:pt>
                <c:pt idx="65">
                  <c:v>1.782414170927683E-2</c:v>
                </c:pt>
                <c:pt idx="66">
                  <c:v>1.6898372576177274E-2</c:v>
                </c:pt>
                <c:pt idx="67">
                  <c:v>1.604289940828401E-2</c:v>
                </c:pt>
                <c:pt idx="68">
                  <c:v>1.5250781250000001E-2</c:v>
                </c:pt>
                <c:pt idx="69">
                  <c:v>1.5250781250000001E-2</c:v>
                </c:pt>
                <c:pt idx="70">
                  <c:v>1.451591314693635E-2</c:v>
                </c:pt>
                <c:pt idx="71">
                  <c:v>1.3832908163265312E-2</c:v>
                </c:pt>
                <c:pt idx="72">
                  <c:v>1.319699837750136E-2</c:v>
                </c:pt>
                <c:pt idx="73">
                  <c:v>1.2603951446281E-2</c:v>
                </c:pt>
                <c:pt idx="74">
                  <c:v>1.205000000000001E-2</c:v>
                </c:pt>
                <c:pt idx="75">
                  <c:v>1.153178166351608E-2</c:v>
                </c:pt>
                <c:pt idx="76">
                  <c:v>1.1046287913082856E-2</c:v>
                </c:pt>
                <c:pt idx="77">
                  <c:v>1.0590820312500013E-2</c:v>
                </c:pt>
                <c:pt idx="78">
                  <c:v>1.0162952936276564E-2</c:v>
                </c:pt>
                <c:pt idx="79">
                  <c:v>9.760500000000014E-3</c:v>
                </c:pt>
                <c:pt idx="80">
                  <c:v>9.3814878892733728E-3</c:v>
                </c:pt>
                <c:pt idx="81">
                  <c:v>9.0241309171597787E-3</c:v>
                </c:pt>
                <c:pt idx="82">
                  <c:v>8.6868102527590044E-3</c:v>
                </c:pt>
                <c:pt idx="83">
                  <c:v>8.3680555555555713E-3</c:v>
                </c:pt>
                <c:pt idx="84">
                  <c:v>8.0665289256198498E-3</c:v>
                </c:pt>
                <c:pt idx="85">
                  <c:v>7.781010841836751E-3</c:v>
                </c:pt>
                <c:pt idx="86">
                  <c:v>7.5103878116343659E-3</c:v>
                </c:pt>
                <c:pt idx="87">
                  <c:v>7.2536414982164264E-3</c:v>
                </c:pt>
                <c:pt idx="88">
                  <c:v>7.0098391266877509E-3</c:v>
                </c:pt>
                <c:pt idx="89">
                  <c:v>6.7781250000000003E-3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C07-412E-81C1-131533558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337024"/>
        <c:axId val="152351104"/>
      </c:scatterChart>
      <c:valAx>
        <c:axId val="152337024"/>
        <c:scaling>
          <c:orientation val="minMax"/>
          <c:max val="3"/>
          <c:min val="0"/>
        </c:scaling>
        <c:delete val="0"/>
        <c:axPos val="b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52351104"/>
        <c:crosses val="autoZero"/>
        <c:crossBetween val="midCat"/>
      </c:valAx>
      <c:valAx>
        <c:axId val="152351104"/>
        <c:scaling>
          <c:orientation val="minMax"/>
          <c:max val="1.2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5233702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3436111715658337"/>
          <c:y val="0.2081763779527559"/>
          <c:w val="0.17846365790440527"/>
          <c:h val="0.401967104111986"/>
        </c:manualLayout>
      </c:layout>
      <c:overlay val="1"/>
      <c:spPr>
        <a:solidFill>
          <a:schemeClr val="bg1"/>
        </a:solidFill>
      </c:spPr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'Spettri y'!$AA$10</c:f>
          <c:strCache>
            <c:ptCount val="1"/>
            <c:pt idx="0">
              <c:v>Piazza Cairoli, Messina - spettri elastici, ag/g</c:v>
            </c:pt>
          </c:strCache>
        </c:strRef>
      </c:tx>
      <c:layout>
        <c:manualLayout>
          <c:xMode val="edge"/>
          <c:yMode val="edge"/>
          <c:x val="0.12171119235095613"/>
          <c:y val="1.7777777777777781E-2"/>
        </c:manualLayout>
      </c:layout>
      <c:overlay val="0"/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5"/>
          <c:order val="0"/>
          <c:spPr>
            <a:ln>
              <a:noFill/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'Spettri y'!$AA$15:$AA$18</c:f>
              <c:numCache>
                <c:formatCode>General</c:formatCode>
                <c:ptCount val="4"/>
                <c:pt idx="0">
                  <c:v>0.61099999999999999</c:v>
                </c:pt>
                <c:pt idx="1">
                  <c:v>0.61099999999999999</c:v>
                </c:pt>
                <c:pt idx="2">
                  <c:v>0.61099999999999999</c:v>
                </c:pt>
                <c:pt idx="3">
                  <c:v>0.61099999999999999</c:v>
                </c:pt>
              </c:numCache>
            </c:numRef>
          </c:xVal>
          <c:yVal>
            <c:numRef>
              <c:f>'Spettri y'!$AC$15:$AC$20</c:f>
              <c:numCache>
                <c:formatCode>0.0</c:formatCode>
                <c:ptCount val="6"/>
                <c:pt idx="0">
                  <c:v>14.671305416491508</c:v>
                </c:pt>
                <c:pt idx="1">
                  <c:v>19.906273052046391</c:v>
                </c:pt>
                <c:pt idx="2">
                  <c:v>64.839235005765488</c:v>
                </c:pt>
                <c:pt idx="3">
                  <c:v>83.543782981664961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32-4B29-BD84-BC772A9B4E14}"/>
            </c:ext>
          </c:extLst>
        </c:ser>
        <c:ser>
          <c:idx val="0"/>
          <c:order val="1"/>
          <c:tx>
            <c:v>SLC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'Spettri y'!$AY$15:$AY$140</c:f>
              <c:numCache>
                <c:formatCode>0.000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9.199860185971169E-2</c:v>
                </c:pt>
                <c:pt idx="3">
                  <c:v>0.18399720371942338</c:v>
                </c:pt>
                <c:pt idx="4">
                  <c:v>0.27599580557913506</c:v>
                </c:pt>
                <c:pt idx="5">
                  <c:v>0.3679944074388467</c:v>
                </c:pt>
                <c:pt idx="6">
                  <c:v>0.45999300929855835</c:v>
                </c:pt>
                <c:pt idx="7">
                  <c:v>0.55199161115827011</c:v>
                </c:pt>
                <c:pt idx="8">
                  <c:v>0.61209182087931335</c:v>
                </c:pt>
                <c:pt idx="9">
                  <c:v>0.67219203060035659</c:v>
                </c:pt>
                <c:pt idx="10">
                  <c:v>0.73229224032139983</c:v>
                </c:pt>
                <c:pt idx="11">
                  <c:v>0.79239245004244308</c:v>
                </c:pt>
                <c:pt idx="12">
                  <c:v>0.85249265976348632</c:v>
                </c:pt>
                <c:pt idx="13">
                  <c:v>0.91259286948452956</c:v>
                </c:pt>
                <c:pt idx="14">
                  <c:v>0.9726930792055728</c:v>
                </c:pt>
                <c:pt idx="15">
                  <c:v>1.032793288926616</c:v>
                </c:pt>
                <c:pt idx="16">
                  <c:v>1.0928934986476593</c:v>
                </c:pt>
                <c:pt idx="17">
                  <c:v>1.1529937083687025</c:v>
                </c:pt>
                <c:pt idx="18">
                  <c:v>1.2130939180897458</c:v>
                </c:pt>
                <c:pt idx="19">
                  <c:v>1.273194127810789</c:v>
                </c:pt>
                <c:pt idx="20">
                  <c:v>1.3332943375318322</c:v>
                </c:pt>
                <c:pt idx="21">
                  <c:v>1.3933945472528755</c:v>
                </c:pt>
                <c:pt idx="22">
                  <c:v>1.4534947569739187</c:v>
                </c:pt>
                <c:pt idx="23">
                  <c:v>1.513594966694962</c:v>
                </c:pt>
                <c:pt idx="24">
                  <c:v>1.5736951764160052</c:v>
                </c:pt>
                <c:pt idx="25">
                  <c:v>1.6337953861370484</c:v>
                </c:pt>
                <c:pt idx="26">
                  <c:v>1.6938955958580917</c:v>
                </c:pt>
                <c:pt idx="27">
                  <c:v>1.7539958055791351</c:v>
                </c:pt>
                <c:pt idx="28">
                  <c:v>1.7539958055791351</c:v>
                </c:pt>
                <c:pt idx="29">
                  <c:v>1.8140960153001784</c:v>
                </c:pt>
                <c:pt idx="30">
                  <c:v>1.8741962250212216</c:v>
                </c:pt>
                <c:pt idx="31">
                  <c:v>1.9342964347422649</c:v>
                </c:pt>
                <c:pt idx="32">
                  <c:v>1.9943966444633081</c:v>
                </c:pt>
                <c:pt idx="33">
                  <c:v>2.0544968541843516</c:v>
                </c:pt>
                <c:pt idx="34">
                  <c:v>2.114597063905395</c:v>
                </c:pt>
                <c:pt idx="35">
                  <c:v>2.1746972736264385</c:v>
                </c:pt>
                <c:pt idx="36">
                  <c:v>2.234797483347482</c:v>
                </c:pt>
                <c:pt idx="37">
                  <c:v>2.2948976930685254</c:v>
                </c:pt>
                <c:pt idx="38">
                  <c:v>2.3549979027895689</c:v>
                </c:pt>
                <c:pt idx="39">
                  <c:v>2.4150981125106123</c:v>
                </c:pt>
                <c:pt idx="40">
                  <c:v>2.4751983222316558</c:v>
                </c:pt>
                <c:pt idx="41">
                  <c:v>2.5352985319526993</c:v>
                </c:pt>
                <c:pt idx="42">
                  <c:v>2.5953987416737427</c:v>
                </c:pt>
                <c:pt idx="43">
                  <c:v>2.6554989513947862</c:v>
                </c:pt>
                <c:pt idx="44">
                  <c:v>2.7155991611158297</c:v>
                </c:pt>
                <c:pt idx="45">
                  <c:v>2.7756993708368731</c:v>
                </c:pt>
                <c:pt idx="46">
                  <c:v>2.8357995805579166</c:v>
                </c:pt>
                <c:pt idx="47">
                  <c:v>2.8958997902789601</c:v>
                </c:pt>
                <c:pt idx="48">
                  <c:v>2.9560000000000004</c:v>
                </c:pt>
                <c:pt idx="49">
                  <c:v>2.9582000000000006</c:v>
                </c:pt>
                <c:pt idx="50">
                  <c:v>2.9604000000000008</c:v>
                </c:pt>
                <c:pt idx="51">
                  <c:v>2.962600000000001</c:v>
                </c:pt>
                <c:pt idx="52">
                  <c:v>2.9648000000000012</c:v>
                </c:pt>
                <c:pt idx="53">
                  <c:v>2.9670000000000014</c:v>
                </c:pt>
                <c:pt idx="54">
                  <c:v>2.9692000000000016</c:v>
                </c:pt>
                <c:pt idx="55">
                  <c:v>2.9714000000000018</c:v>
                </c:pt>
                <c:pt idx="56">
                  <c:v>2.973600000000002</c:v>
                </c:pt>
                <c:pt idx="57">
                  <c:v>2.9758000000000022</c:v>
                </c:pt>
                <c:pt idx="58">
                  <c:v>2.9780000000000024</c:v>
                </c:pt>
                <c:pt idx="59">
                  <c:v>2.9802000000000026</c:v>
                </c:pt>
                <c:pt idx="60">
                  <c:v>2.9824000000000028</c:v>
                </c:pt>
                <c:pt idx="61">
                  <c:v>2.984600000000003</c:v>
                </c:pt>
                <c:pt idx="62">
                  <c:v>2.9868000000000032</c:v>
                </c:pt>
                <c:pt idx="63">
                  <c:v>2.9890000000000034</c:v>
                </c:pt>
                <c:pt idx="64">
                  <c:v>2.9912000000000036</c:v>
                </c:pt>
                <c:pt idx="65">
                  <c:v>2.9934000000000038</c:v>
                </c:pt>
                <c:pt idx="66">
                  <c:v>2.995600000000004</c:v>
                </c:pt>
                <c:pt idx="67">
                  <c:v>2.9978000000000042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  <c:pt idx="116">
                  <c:v>6.4</c:v>
                </c:pt>
                <c:pt idx="117">
                  <c:v>6.8</c:v>
                </c:pt>
                <c:pt idx="118">
                  <c:v>7.2</c:v>
                </c:pt>
                <c:pt idx="119">
                  <c:v>7.6</c:v>
                </c:pt>
                <c:pt idx="120">
                  <c:v>8</c:v>
                </c:pt>
                <c:pt idx="121">
                  <c:v>8.4</c:v>
                </c:pt>
                <c:pt idx="122">
                  <c:v>8.8000000000000007</c:v>
                </c:pt>
                <c:pt idx="123">
                  <c:v>9.1999999999999993</c:v>
                </c:pt>
                <c:pt idx="124">
                  <c:v>9.6</c:v>
                </c:pt>
                <c:pt idx="125">
                  <c:v>10</c:v>
                </c:pt>
              </c:numCache>
            </c:numRef>
          </c:xVal>
          <c:yVal>
            <c:numRef>
              <c:f>'Spettri y'!$BB$15:$BB$140</c:f>
              <c:numCache>
                <c:formatCode>0.00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1.4770094385138677</c:v>
                </c:pt>
                <c:pt idx="3">
                  <c:v>8.3861551864531947</c:v>
                </c:pt>
                <c:pt idx="4">
                  <c:v>18.868849169519684</c:v>
                </c:pt>
                <c:pt idx="5">
                  <c:v>33.544620745812757</c:v>
                </c:pt>
                <c:pt idx="6">
                  <c:v>52.413469915332435</c:v>
                </c:pt>
                <c:pt idx="7">
                  <c:v>75.475396678078738</c:v>
                </c:pt>
                <c:pt idx="8">
                  <c:v>83.693070782968064</c:v>
                </c:pt>
                <c:pt idx="9">
                  <c:v>91.910744887857405</c:v>
                </c:pt>
                <c:pt idx="10">
                  <c:v>100.12841899274673</c:v>
                </c:pt>
                <c:pt idx="11">
                  <c:v>108.34609309763609</c:v>
                </c:pt>
                <c:pt idx="12">
                  <c:v>116.56376720252544</c:v>
                </c:pt>
                <c:pt idx="13">
                  <c:v>124.78144130741475</c:v>
                </c:pt>
                <c:pt idx="14">
                  <c:v>132.99911541230409</c:v>
                </c:pt>
                <c:pt idx="15">
                  <c:v>141.21678951719343</c:v>
                </c:pt>
                <c:pt idx="16">
                  <c:v>149.43446362208277</c:v>
                </c:pt>
                <c:pt idx="17">
                  <c:v>157.65213772697211</c:v>
                </c:pt>
                <c:pt idx="18">
                  <c:v>165.86981183186148</c:v>
                </c:pt>
                <c:pt idx="19">
                  <c:v>174.0874859367508</c:v>
                </c:pt>
                <c:pt idx="20">
                  <c:v>182.30516004164011</c:v>
                </c:pt>
                <c:pt idx="21">
                  <c:v>190.52283414652945</c:v>
                </c:pt>
                <c:pt idx="22">
                  <c:v>198.74050825141885</c:v>
                </c:pt>
                <c:pt idx="23">
                  <c:v>206.95818235630816</c:v>
                </c:pt>
                <c:pt idx="24">
                  <c:v>215.17585646119753</c:v>
                </c:pt>
                <c:pt idx="25">
                  <c:v>223.39353056608684</c:v>
                </c:pt>
                <c:pt idx="26">
                  <c:v>231.61120467097621</c:v>
                </c:pt>
                <c:pt idx="27">
                  <c:v>239.82887877586555</c:v>
                </c:pt>
                <c:pt idx="28">
                  <c:v>239.82887877586555</c:v>
                </c:pt>
                <c:pt idx="29">
                  <c:v>248.04655288075486</c:v>
                </c:pt>
                <c:pt idx="30">
                  <c:v>256.2642269856442</c:v>
                </c:pt>
                <c:pt idx="31">
                  <c:v>264.4819010905336</c:v>
                </c:pt>
                <c:pt idx="32">
                  <c:v>272.69957519542288</c:v>
                </c:pt>
                <c:pt idx="33">
                  <c:v>280.91724930031228</c:v>
                </c:pt>
                <c:pt idx="34">
                  <c:v>289.13492340520162</c:v>
                </c:pt>
                <c:pt idx="35">
                  <c:v>297.35259751009102</c:v>
                </c:pt>
                <c:pt idx="36">
                  <c:v>305.57027161498036</c:v>
                </c:pt>
                <c:pt idx="37">
                  <c:v>313.7879457198697</c:v>
                </c:pt>
                <c:pt idx="38">
                  <c:v>322.00561982475909</c:v>
                </c:pt>
                <c:pt idx="39">
                  <c:v>330.22329392964843</c:v>
                </c:pt>
                <c:pt idx="40">
                  <c:v>338.44096803453783</c:v>
                </c:pt>
                <c:pt idx="41">
                  <c:v>346.65864213942717</c:v>
                </c:pt>
                <c:pt idx="42">
                  <c:v>354.87631624431663</c:v>
                </c:pt>
                <c:pt idx="43">
                  <c:v>363.09399034920591</c:v>
                </c:pt>
                <c:pt idx="44">
                  <c:v>371.31166445409531</c:v>
                </c:pt>
                <c:pt idx="45">
                  <c:v>379.5293385589847</c:v>
                </c:pt>
                <c:pt idx="46">
                  <c:v>387.74701266387405</c:v>
                </c:pt>
                <c:pt idx="47">
                  <c:v>395.9646867687635</c:v>
                </c:pt>
                <c:pt idx="48">
                  <c:v>404.18236087365239</c:v>
                </c:pt>
                <c:pt idx="49">
                  <c:v>404.18236087365239</c:v>
                </c:pt>
                <c:pt idx="50">
                  <c:v>404.18236087365239</c:v>
                </c:pt>
                <c:pt idx="51">
                  <c:v>404.18236087365239</c:v>
                </c:pt>
                <c:pt idx="52">
                  <c:v>404.18236087365244</c:v>
                </c:pt>
                <c:pt idx="53">
                  <c:v>404.18236087365239</c:v>
                </c:pt>
                <c:pt idx="54">
                  <c:v>404.18236087365239</c:v>
                </c:pt>
                <c:pt idx="55">
                  <c:v>404.18236087365239</c:v>
                </c:pt>
                <c:pt idx="56">
                  <c:v>404.18236087365239</c:v>
                </c:pt>
                <c:pt idx="57">
                  <c:v>404.18236087365239</c:v>
                </c:pt>
                <c:pt idx="58">
                  <c:v>404.18236087365233</c:v>
                </c:pt>
                <c:pt idx="59">
                  <c:v>404.18236087365244</c:v>
                </c:pt>
                <c:pt idx="60">
                  <c:v>404.18236087365239</c:v>
                </c:pt>
                <c:pt idx="61">
                  <c:v>404.18236087365244</c:v>
                </c:pt>
                <c:pt idx="62">
                  <c:v>404.18236087365239</c:v>
                </c:pt>
                <c:pt idx="63">
                  <c:v>404.18236087365239</c:v>
                </c:pt>
                <c:pt idx="64">
                  <c:v>404.18236087365239</c:v>
                </c:pt>
                <c:pt idx="65">
                  <c:v>404.18236087365239</c:v>
                </c:pt>
                <c:pt idx="66">
                  <c:v>404.18236087365244</c:v>
                </c:pt>
                <c:pt idx="67">
                  <c:v>404.18236087365239</c:v>
                </c:pt>
                <c:pt idx="68">
                  <c:v>404.18236087365239</c:v>
                </c:pt>
                <c:pt idx="69">
                  <c:v>404.18236087365239</c:v>
                </c:pt>
                <c:pt idx="70">
                  <c:v>404.18236087365239</c:v>
                </c:pt>
                <c:pt idx="71">
                  <c:v>404.18236087365239</c:v>
                </c:pt>
                <c:pt idx="72">
                  <c:v>404.18236087365239</c:v>
                </c:pt>
                <c:pt idx="73">
                  <c:v>404.18236087365239</c:v>
                </c:pt>
                <c:pt idx="74">
                  <c:v>404.18236087365239</c:v>
                </c:pt>
                <c:pt idx="75">
                  <c:v>404.18236087365239</c:v>
                </c:pt>
                <c:pt idx="76">
                  <c:v>404.18236087365239</c:v>
                </c:pt>
                <c:pt idx="77">
                  <c:v>404.18236087365239</c:v>
                </c:pt>
                <c:pt idx="78">
                  <c:v>404.18236087365239</c:v>
                </c:pt>
                <c:pt idx="79">
                  <c:v>404.18236087365239</c:v>
                </c:pt>
                <c:pt idx="80">
                  <c:v>404.18236087365239</c:v>
                </c:pt>
                <c:pt idx="81">
                  <c:v>404.18236087365239</c:v>
                </c:pt>
                <c:pt idx="82">
                  <c:v>404.18236087365239</c:v>
                </c:pt>
                <c:pt idx="83">
                  <c:v>404.18236087365239</c:v>
                </c:pt>
                <c:pt idx="84">
                  <c:v>404.18236087365239</c:v>
                </c:pt>
                <c:pt idx="85">
                  <c:v>404.18236087365239</c:v>
                </c:pt>
                <c:pt idx="86">
                  <c:v>404.18236087365239</c:v>
                </c:pt>
                <c:pt idx="87">
                  <c:v>404.18236087365239</c:v>
                </c:pt>
                <c:pt idx="88">
                  <c:v>404.18236087365239</c:v>
                </c:pt>
                <c:pt idx="89">
                  <c:v>404.18236087365239</c:v>
                </c:pt>
                <c:pt idx="90">
                  <c:v>404.18236087365244</c:v>
                </c:pt>
                <c:pt idx="91">
                  <c:v>404.18236087365239</c:v>
                </c:pt>
                <c:pt idx="92">
                  <c:v>404.18236087365239</c:v>
                </c:pt>
                <c:pt idx="93">
                  <c:v>404.18236087365239</c:v>
                </c:pt>
                <c:pt idx="94">
                  <c:v>404.18236087365233</c:v>
                </c:pt>
                <c:pt idx="95">
                  <c:v>404.18236087365244</c:v>
                </c:pt>
                <c:pt idx="96">
                  <c:v>404.18236087365239</c:v>
                </c:pt>
                <c:pt idx="97">
                  <c:v>404.18236087365244</c:v>
                </c:pt>
                <c:pt idx="98">
                  <c:v>404.18236087365239</c:v>
                </c:pt>
                <c:pt idx="99">
                  <c:v>404.18236087365239</c:v>
                </c:pt>
                <c:pt idx="100">
                  <c:v>404.18236087365239</c:v>
                </c:pt>
                <c:pt idx="101">
                  <c:v>404.18236087365244</c:v>
                </c:pt>
                <c:pt idx="102">
                  <c:v>404.18236087365239</c:v>
                </c:pt>
                <c:pt idx="103">
                  <c:v>404.18236087365244</c:v>
                </c:pt>
                <c:pt idx="104">
                  <c:v>404.18236087365239</c:v>
                </c:pt>
                <c:pt idx="105">
                  <c:v>404.18236087365244</c:v>
                </c:pt>
                <c:pt idx="106">
                  <c:v>404.18236087365233</c:v>
                </c:pt>
                <c:pt idx="107">
                  <c:v>404.18236087365244</c:v>
                </c:pt>
                <c:pt idx="108">
                  <c:v>404.18236087365239</c:v>
                </c:pt>
                <c:pt idx="109">
                  <c:v>404.18236087365244</c:v>
                </c:pt>
                <c:pt idx="110">
                  <c:v>404.18236087365233</c:v>
                </c:pt>
                <c:pt idx="111">
                  <c:v>404.18236087365239</c:v>
                </c:pt>
                <c:pt idx="112">
                  <c:v>404.18236087365239</c:v>
                </c:pt>
                <c:pt idx="113">
                  <c:v>404.18236087365239</c:v>
                </c:pt>
                <c:pt idx="114">
                  <c:v>404.18236087365244</c:v>
                </c:pt>
                <c:pt idx="115">
                  <c:v>404.18236087365239</c:v>
                </c:pt>
                <c:pt idx="116">
                  <c:v>380.29510069113996</c:v>
                </c:pt>
                <c:pt idx="117">
                  <c:v>356.4078405086276</c:v>
                </c:pt>
                <c:pt idx="118">
                  <c:v>332.52058032611524</c:v>
                </c:pt>
                <c:pt idx="119">
                  <c:v>308.63332014360293</c:v>
                </c:pt>
                <c:pt idx="120">
                  <c:v>284.74605996109051</c:v>
                </c:pt>
                <c:pt idx="121">
                  <c:v>260.85879977857809</c:v>
                </c:pt>
                <c:pt idx="122">
                  <c:v>236.97153959606572</c:v>
                </c:pt>
                <c:pt idx="123">
                  <c:v>213.08427941355339</c:v>
                </c:pt>
                <c:pt idx="124">
                  <c:v>189.197019231041</c:v>
                </c:pt>
                <c:pt idx="125">
                  <c:v>165.3097590485286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32-4B29-BD84-BC772A9B4E14}"/>
            </c:ext>
          </c:extLst>
        </c:ser>
        <c:ser>
          <c:idx val="1"/>
          <c:order val="2"/>
          <c:tx>
            <c:v>SLV</c:v>
          </c:tx>
          <c:spPr>
            <a:ln w="19050"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'Spettri y'!$AU$15:$AU$140</c:f>
              <c:numCache>
                <c:formatCode>0.000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8.8259349900035824E-2</c:v>
                </c:pt>
                <c:pt idx="3">
                  <c:v>0.17651869980007165</c:v>
                </c:pt>
                <c:pt idx="4">
                  <c:v>0.26477804970010749</c:v>
                </c:pt>
                <c:pt idx="5">
                  <c:v>0.35303739960014335</c:v>
                </c:pt>
                <c:pt idx="6">
                  <c:v>0.44129674950017916</c:v>
                </c:pt>
                <c:pt idx="7">
                  <c:v>0.52955609940021497</c:v>
                </c:pt>
                <c:pt idx="8">
                  <c:v>0.58131719691520956</c:v>
                </c:pt>
                <c:pt idx="9">
                  <c:v>0.63307829443020414</c:v>
                </c:pt>
                <c:pt idx="10">
                  <c:v>0.68483939194519872</c:v>
                </c:pt>
                <c:pt idx="11">
                  <c:v>0.7366004894601933</c:v>
                </c:pt>
                <c:pt idx="12">
                  <c:v>0.78836158697518788</c:v>
                </c:pt>
                <c:pt idx="13">
                  <c:v>0.84012268449018246</c:v>
                </c:pt>
                <c:pt idx="14">
                  <c:v>0.89188378200517704</c:v>
                </c:pt>
                <c:pt idx="15">
                  <c:v>0.94364487952017162</c:v>
                </c:pt>
                <c:pt idx="16">
                  <c:v>0.9954059770351662</c:v>
                </c:pt>
                <c:pt idx="17">
                  <c:v>1.0471670745501609</c:v>
                </c:pt>
                <c:pt idx="18">
                  <c:v>1.0989281720651556</c:v>
                </c:pt>
                <c:pt idx="19">
                  <c:v>1.1506892695801503</c:v>
                </c:pt>
                <c:pt idx="20">
                  <c:v>1.202450367095145</c:v>
                </c:pt>
                <c:pt idx="21">
                  <c:v>1.2542114646101397</c:v>
                </c:pt>
                <c:pt idx="22">
                  <c:v>1.3059725621251344</c:v>
                </c:pt>
                <c:pt idx="23">
                  <c:v>1.357733659640129</c:v>
                </c:pt>
                <c:pt idx="24">
                  <c:v>1.4094947571551237</c:v>
                </c:pt>
                <c:pt idx="25">
                  <c:v>1.4612558546701184</c:v>
                </c:pt>
                <c:pt idx="26">
                  <c:v>1.5130169521851131</c:v>
                </c:pt>
                <c:pt idx="27">
                  <c:v>1.5647780497001076</c:v>
                </c:pt>
                <c:pt idx="28">
                  <c:v>1.5647780497001076</c:v>
                </c:pt>
                <c:pt idx="29">
                  <c:v>1.6165391472151023</c:v>
                </c:pt>
                <c:pt idx="30">
                  <c:v>1.668300244730097</c:v>
                </c:pt>
                <c:pt idx="31">
                  <c:v>1.7200613422450917</c:v>
                </c:pt>
                <c:pt idx="32">
                  <c:v>1.7718224397600864</c:v>
                </c:pt>
                <c:pt idx="33">
                  <c:v>1.823583537275081</c:v>
                </c:pt>
                <c:pt idx="34">
                  <c:v>1.8753446347900757</c:v>
                </c:pt>
                <c:pt idx="35">
                  <c:v>1.9271057323050704</c:v>
                </c:pt>
                <c:pt idx="36">
                  <c:v>1.9788668298200651</c:v>
                </c:pt>
                <c:pt idx="37">
                  <c:v>2.0306279273350598</c:v>
                </c:pt>
                <c:pt idx="38">
                  <c:v>2.0823890248500545</c:v>
                </c:pt>
                <c:pt idx="39">
                  <c:v>2.1341501223650492</c:v>
                </c:pt>
                <c:pt idx="40">
                  <c:v>2.1859112198800439</c:v>
                </c:pt>
                <c:pt idx="41">
                  <c:v>2.2376723173950386</c:v>
                </c:pt>
                <c:pt idx="42">
                  <c:v>2.2894334149100333</c:v>
                </c:pt>
                <c:pt idx="43">
                  <c:v>2.341194512425028</c:v>
                </c:pt>
                <c:pt idx="44">
                  <c:v>2.3929556099400227</c:v>
                </c:pt>
                <c:pt idx="45">
                  <c:v>2.4447167074550173</c:v>
                </c:pt>
                <c:pt idx="46">
                  <c:v>2.496477804970012</c:v>
                </c:pt>
                <c:pt idx="47">
                  <c:v>2.5482389024850067</c:v>
                </c:pt>
                <c:pt idx="48">
                  <c:v>2.6</c:v>
                </c:pt>
                <c:pt idx="49">
                  <c:v>2.62</c:v>
                </c:pt>
                <c:pt idx="50">
                  <c:v>2.64</c:v>
                </c:pt>
                <c:pt idx="51">
                  <c:v>2.66</c:v>
                </c:pt>
                <c:pt idx="52">
                  <c:v>2.68</c:v>
                </c:pt>
                <c:pt idx="53">
                  <c:v>2.7</c:v>
                </c:pt>
                <c:pt idx="54">
                  <c:v>2.72</c:v>
                </c:pt>
                <c:pt idx="55">
                  <c:v>2.74</c:v>
                </c:pt>
                <c:pt idx="56">
                  <c:v>2.7600000000000002</c:v>
                </c:pt>
                <c:pt idx="57">
                  <c:v>2.7800000000000002</c:v>
                </c:pt>
                <c:pt idx="58">
                  <c:v>2.8000000000000003</c:v>
                </c:pt>
                <c:pt idx="59">
                  <c:v>2.8200000000000003</c:v>
                </c:pt>
                <c:pt idx="60">
                  <c:v>2.8400000000000003</c:v>
                </c:pt>
                <c:pt idx="61">
                  <c:v>2.8600000000000003</c:v>
                </c:pt>
                <c:pt idx="62">
                  <c:v>2.8800000000000003</c:v>
                </c:pt>
                <c:pt idx="63">
                  <c:v>2.9000000000000004</c:v>
                </c:pt>
                <c:pt idx="64">
                  <c:v>2.9200000000000004</c:v>
                </c:pt>
                <c:pt idx="65">
                  <c:v>2.9400000000000004</c:v>
                </c:pt>
                <c:pt idx="66">
                  <c:v>2.9600000000000004</c:v>
                </c:pt>
                <c:pt idx="67">
                  <c:v>2.9800000000000004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  <c:pt idx="116">
                  <c:v>6.4</c:v>
                </c:pt>
                <c:pt idx="117">
                  <c:v>6.8</c:v>
                </c:pt>
                <c:pt idx="118">
                  <c:v>7.2</c:v>
                </c:pt>
                <c:pt idx="119">
                  <c:v>7.6</c:v>
                </c:pt>
                <c:pt idx="120">
                  <c:v>8</c:v>
                </c:pt>
                <c:pt idx="121">
                  <c:v>8.4</c:v>
                </c:pt>
                <c:pt idx="122">
                  <c:v>8.8000000000000007</c:v>
                </c:pt>
                <c:pt idx="123">
                  <c:v>9.1999999999999993</c:v>
                </c:pt>
                <c:pt idx="124">
                  <c:v>9.6</c:v>
                </c:pt>
                <c:pt idx="125">
                  <c:v>10</c:v>
                </c:pt>
              </c:numCache>
            </c:numRef>
          </c:xVal>
          <c:yVal>
            <c:numRef>
              <c:f>'Spettri y'!$AX$15:$AX$140</c:f>
              <c:numCache>
                <c:formatCode>0.00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1.104367167173713</c:v>
                </c:pt>
                <c:pt idx="3">
                  <c:v>6.2440466226126645</c:v>
                </c:pt>
                <c:pt idx="4">
                  <c:v>14.049104900878497</c:v>
                </c:pt>
                <c:pt idx="5">
                  <c:v>24.976186490450669</c:v>
                </c:pt>
                <c:pt idx="6">
                  <c:v>39.025291391329162</c:v>
                </c:pt>
                <c:pt idx="7">
                  <c:v>56.196419603513988</c:v>
                </c:pt>
                <c:pt idx="8">
                  <c:v>61.689300071486294</c:v>
                </c:pt>
                <c:pt idx="9">
                  <c:v>67.182180539458599</c:v>
                </c:pt>
                <c:pt idx="10">
                  <c:v>72.675061007430898</c:v>
                </c:pt>
                <c:pt idx="11">
                  <c:v>78.167941475403211</c:v>
                </c:pt>
                <c:pt idx="12">
                  <c:v>83.660821943375495</c:v>
                </c:pt>
                <c:pt idx="13">
                  <c:v>89.153702411347794</c:v>
                </c:pt>
                <c:pt idx="14">
                  <c:v>94.646582879320121</c:v>
                </c:pt>
                <c:pt idx="15">
                  <c:v>100.13946334729242</c:v>
                </c:pt>
                <c:pt idx="16">
                  <c:v>105.63234381526472</c:v>
                </c:pt>
                <c:pt idx="17">
                  <c:v>111.12522428323705</c:v>
                </c:pt>
                <c:pt idx="18">
                  <c:v>116.61810475120937</c:v>
                </c:pt>
                <c:pt idx="19">
                  <c:v>122.11098521918167</c:v>
                </c:pt>
                <c:pt idx="20">
                  <c:v>127.603865687154</c:v>
                </c:pt>
                <c:pt idx="21">
                  <c:v>133.09674615512628</c:v>
                </c:pt>
                <c:pt idx="22">
                  <c:v>138.58962662309861</c:v>
                </c:pt>
                <c:pt idx="23">
                  <c:v>144.08250709107091</c:v>
                </c:pt>
                <c:pt idx="24">
                  <c:v>149.57538755904324</c:v>
                </c:pt>
                <c:pt idx="25">
                  <c:v>155.06826802701556</c:v>
                </c:pt>
                <c:pt idx="26">
                  <c:v>160.56114849498786</c:v>
                </c:pt>
                <c:pt idx="27">
                  <c:v>166.05402896296016</c:v>
                </c:pt>
                <c:pt idx="28">
                  <c:v>166.05402896296016</c:v>
                </c:pt>
                <c:pt idx="29">
                  <c:v>171.54690943093249</c:v>
                </c:pt>
                <c:pt idx="30">
                  <c:v>177.03978989890481</c:v>
                </c:pt>
                <c:pt idx="31">
                  <c:v>182.53267036687711</c:v>
                </c:pt>
                <c:pt idx="32">
                  <c:v>188.02555083484944</c:v>
                </c:pt>
                <c:pt idx="33">
                  <c:v>193.51843130282174</c:v>
                </c:pt>
                <c:pt idx="34">
                  <c:v>199.01131177079407</c:v>
                </c:pt>
                <c:pt idx="35">
                  <c:v>204.50419223876639</c:v>
                </c:pt>
                <c:pt idx="36">
                  <c:v>209.99707270673869</c:v>
                </c:pt>
                <c:pt idx="37">
                  <c:v>215.48995317471099</c:v>
                </c:pt>
                <c:pt idx="38">
                  <c:v>220.98283364268332</c:v>
                </c:pt>
                <c:pt idx="39">
                  <c:v>226.47571411065562</c:v>
                </c:pt>
                <c:pt idx="40">
                  <c:v>231.96859457862794</c:v>
                </c:pt>
                <c:pt idx="41">
                  <c:v>237.46147504660027</c:v>
                </c:pt>
                <c:pt idx="42">
                  <c:v>242.9543555145726</c:v>
                </c:pt>
                <c:pt idx="43">
                  <c:v>248.44723598254487</c:v>
                </c:pt>
                <c:pt idx="44">
                  <c:v>253.94011645051719</c:v>
                </c:pt>
                <c:pt idx="45">
                  <c:v>259.43299691848949</c:v>
                </c:pt>
                <c:pt idx="46">
                  <c:v>264.92587738646188</c:v>
                </c:pt>
                <c:pt idx="47">
                  <c:v>270.41875785443415</c:v>
                </c:pt>
                <c:pt idx="48">
                  <c:v>275.9116383224063</c:v>
                </c:pt>
                <c:pt idx="49">
                  <c:v>275.9116383224063</c:v>
                </c:pt>
                <c:pt idx="50">
                  <c:v>275.9116383224063</c:v>
                </c:pt>
                <c:pt idx="51">
                  <c:v>275.9116383224063</c:v>
                </c:pt>
                <c:pt idx="52">
                  <c:v>275.9116383224063</c:v>
                </c:pt>
                <c:pt idx="53">
                  <c:v>275.9116383224063</c:v>
                </c:pt>
                <c:pt idx="54">
                  <c:v>275.9116383224063</c:v>
                </c:pt>
                <c:pt idx="55">
                  <c:v>275.9116383224063</c:v>
                </c:pt>
                <c:pt idx="56">
                  <c:v>275.9116383224063</c:v>
                </c:pt>
                <c:pt idx="57">
                  <c:v>275.9116383224063</c:v>
                </c:pt>
                <c:pt idx="58">
                  <c:v>275.9116383224063</c:v>
                </c:pt>
                <c:pt idx="59">
                  <c:v>275.9116383224063</c:v>
                </c:pt>
                <c:pt idx="60">
                  <c:v>275.9116383224063</c:v>
                </c:pt>
                <c:pt idx="61">
                  <c:v>275.9116383224063</c:v>
                </c:pt>
                <c:pt idx="62">
                  <c:v>275.91163832240636</c:v>
                </c:pt>
                <c:pt idx="63">
                  <c:v>275.9116383224063</c:v>
                </c:pt>
                <c:pt idx="64">
                  <c:v>275.9116383224063</c:v>
                </c:pt>
                <c:pt idx="65">
                  <c:v>275.9116383224063</c:v>
                </c:pt>
                <c:pt idx="66">
                  <c:v>275.9116383224063</c:v>
                </c:pt>
                <c:pt idx="67">
                  <c:v>275.9116383224063</c:v>
                </c:pt>
                <c:pt idx="68">
                  <c:v>275.9116383224063</c:v>
                </c:pt>
                <c:pt idx="69">
                  <c:v>275.9116383224063</c:v>
                </c:pt>
                <c:pt idx="70">
                  <c:v>275.9116383224063</c:v>
                </c:pt>
                <c:pt idx="71">
                  <c:v>275.9116383224063</c:v>
                </c:pt>
                <c:pt idx="72">
                  <c:v>275.9116383224063</c:v>
                </c:pt>
                <c:pt idx="73">
                  <c:v>275.9116383224063</c:v>
                </c:pt>
                <c:pt idx="74">
                  <c:v>275.9116383224063</c:v>
                </c:pt>
                <c:pt idx="75">
                  <c:v>275.9116383224063</c:v>
                </c:pt>
                <c:pt idx="76">
                  <c:v>275.9116383224063</c:v>
                </c:pt>
                <c:pt idx="77">
                  <c:v>275.9116383224063</c:v>
                </c:pt>
                <c:pt idx="78">
                  <c:v>275.9116383224063</c:v>
                </c:pt>
                <c:pt idx="79">
                  <c:v>275.9116383224063</c:v>
                </c:pt>
                <c:pt idx="80">
                  <c:v>275.9116383224063</c:v>
                </c:pt>
                <c:pt idx="81">
                  <c:v>275.9116383224063</c:v>
                </c:pt>
                <c:pt idx="82">
                  <c:v>275.9116383224063</c:v>
                </c:pt>
                <c:pt idx="83">
                  <c:v>275.9116383224063</c:v>
                </c:pt>
                <c:pt idx="84">
                  <c:v>275.9116383224063</c:v>
                </c:pt>
                <c:pt idx="85">
                  <c:v>275.9116383224063</c:v>
                </c:pt>
                <c:pt idx="86">
                  <c:v>275.9116383224063</c:v>
                </c:pt>
                <c:pt idx="87">
                  <c:v>275.9116383224063</c:v>
                </c:pt>
                <c:pt idx="88">
                  <c:v>275.9116383224063</c:v>
                </c:pt>
                <c:pt idx="89">
                  <c:v>275.9116383224063</c:v>
                </c:pt>
                <c:pt idx="90">
                  <c:v>275.9116383224063</c:v>
                </c:pt>
                <c:pt idx="91">
                  <c:v>275.9116383224063</c:v>
                </c:pt>
                <c:pt idx="92">
                  <c:v>275.9116383224063</c:v>
                </c:pt>
                <c:pt idx="93">
                  <c:v>275.9116383224063</c:v>
                </c:pt>
                <c:pt idx="94">
                  <c:v>275.9116383224063</c:v>
                </c:pt>
                <c:pt idx="95">
                  <c:v>275.9116383224063</c:v>
                </c:pt>
                <c:pt idx="96">
                  <c:v>275.91163832240636</c:v>
                </c:pt>
                <c:pt idx="97">
                  <c:v>275.9116383224063</c:v>
                </c:pt>
                <c:pt idx="98">
                  <c:v>275.9116383224063</c:v>
                </c:pt>
                <c:pt idx="99">
                  <c:v>275.9116383224063</c:v>
                </c:pt>
                <c:pt idx="100">
                  <c:v>275.9116383224063</c:v>
                </c:pt>
                <c:pt idx="101">
                  <c:v>275.9116383224063</c:v>
                </c:pt>
                <c:pt idx="102">
                  <c:v>275.9116383224063</c:v>
                </c:pt>
                <c:pt idx="103">
                  <c:v>275.9116383224063</c:v>
                </c:pt>
                <c:pt idx="104">
                  <c:v>275.9116383224063</c:v>
                </c:pt>
                <c:pt idx="105">
                  <c:v>275.9116383224063</c:v>
                </c:pt>
                <c:pt idx="106">
                  <c:v>275.9116383224063</c:v>
                </c:pt>
                <c:pt idx="107">
                  <c:v>275.9116383224063</c:v>
                </c:pt>
                <c:pt idx="108">
                  <c:v>275.9116383224063</c:v>
                </c:pt>
                <c:pt idx="109">
                  <c:v>275.9116383224063</c:v>
                </c:pt>
                <c:pt idx="110">
                  <c:v>275.9116383224063</c:v>
                </c:pt>
                <c:pt idx="111">
                  <c:v>275.9116383224063</c:v>
                </c:pt>
                <c:pt idx="112">
                  <c:v>275.9116383224063</c:v>
                </c:pt>
                <c:pt idx="113">
                  <c:v>275.9116383224063</c:v>
                </c:pt>
                <c:pt idx="114">
                  <c:v>275.9116383224063</c:v>
                </c:pt>
                <c:pt idx="115">
                  <c:v>275.9116383224063</c:v>
                </c:pt>
                <c:pt idx="116">
                  <c:v>259.76909018819089</c:v>
                </c:pt>
                <c:pt idx="117">
                  <c:v>243.62654205397541</c:v>
                </c:pt>
                <c:pt idx="118">
                  <c:v>227.48399391975994</c:v>
                </c:pt>
                <c:pt idx="119">
                  <c:v>211.34144578554444</c:v>
                </c:pt>
                <c:pt idx="120">
                  <c:v>195.19889765132896</c:v>
                </c:pt>
                <c:pt idx="121">
                  <c:v>179.05634951711349</c:v>
                </c:pt>
                <c:pt idx="122">
                  <c:v>162.91380138289799</c:v>
                </c:pt>
                <c:pt idx="123">
                  <c:v>146.77125324868257</c:v>
                </c:pt>
                <c:pt idx="124">
                  <c:v>130.6287051144671</c:v>
                </c:pt>
                <c:pt idx="125">
                  <c:v>114.48615698025159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E32-4B29-BD84-BC772A9B4E14}"/>
            </c:ext>
          </c:extLst>
        </c:ser>
        <c:ser>
          <c:idx val="2"/>
          <c:order val="3"/>
          <c:tx>
            <c:v>SLD</c:v>
          </c:tx>
          <c:spPr>
            <a:ln w="12700"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'Spettri y'!$AQ$15:$AQ$140</c:f>
              <c:numCache>
                <c:formatCode>0.000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7.6708688772966063E-2</c:v>
                </c:pt>
                <c:pt idx="3">
                  <c:v>0.15341737754593213</c:v>
                </c:pt>
                <c:pt idx="4">
                  <c:v>0.23012606631889818</c:v>
                </c:pt>
                <c:pt idx="5">
                  <c:v>0.3068347550918642</c:v>
                </c:pt>
                <c:pt idx="6">
                  <c:v>0.38354344386483025</c:v>
                </c:pt>
                <c:pt idx="7">
                  <c:v>0.46025213263779635</c:v>
                </c:pt>
                <c:pt idx="8">
                  <c:v>0.49694582932185144</c:v>
                </c:pt>
                <c:pt idx="9">
                  <c:v>0.53363952600590658</c:v>
                </c:pt>
                <c:pt idx="10">
                  <c:v>0.57033322268996167</c:v>
                </c:pt>
                <c:pt idx="11">
                  <c:v>0.60702691937401676</c:v>
                </c:pt>
                <c:pt idx="12">
                  <c:v>0.64372061605807185</c:v>
                </c:pt>
                <c:pt idx="13">
                  <c:v>0.68041431274212694</c:v>
                </c:pt>
                <c:pt idx="14">
                  <c:v>0.71710800942618202</c:v>
                </c:pt>
                <c:pt idx="15">
                  <c:v>0.75380170611023711</c:v>
                </c:pt>
                <c:pt idx="16">
                  <c:v>0.7904954027942922</c:v>
                </c:pt>
                <c:pt idx="17">
                  <c:v>0.82718909947834729</c:v>
                </c:pt>
                <c:pt idx="18">
                  <c:v>0.86388279616240238</c:v>
                </c:pt>
                <c:pt idx="19">
                  <c:v>0.90057649284645747</c:v>
                </c:pt>
                <c:pt idx="20">
                  <c:v>0.93727018953051255</c:v>
                </c:pt>
                <c:pt idx="21">
                  <c:v>0.97396388621456764</c:v>
                </c:pt>
                <c:pt idx="22">
                  <c:v>1.0106575828986228</c:v>
                </c:pt>
                <c:pt idx="23">
                  <c:v>1.0473512795826778</c:v>
                </c:pt>
                <c:pt idx="24">
                  <c:v>1.0840449762667328</c:v>
                </c:pt>
                <c:pt idx="25">
                  <c:v>1.1207386729507878</c:v>
                </c:pt>
                <c:pt idx="26">
                  <c:v>1.1574323696348428</c:v>
                </c:pt>
                <c:pt idx="27">
                  <c:v>1.1941260663188982</c:v>
                </c:pt>
                <c:pt idx="28">
                  <c:v>1.1941260663188982</c:v>
                </c:pt>
                <c:pt idx="29">
                  <c:v>1.2308197630029534</c:v>
                </c:pt>
                <c:pt idx="30">
                  <c:v>1.2675134596870086</c:v>
                </c:pt>
                <c:pt idx="31">
                  <c:v>1.3042071563710638</c:v>
                </c:pt>
                <c:pt idx="32">
                  <c:v>1.340900853055119</c:v>
                </c:pt>
                <c:pt idx="33">
                  <c:v>1.3775945497391742</c:v>
                </c:pt>
                <c:pt idx="34">
                  <c:v>1.4142882464232294</c:v>
                </c:pt>
                <c:pt idx="35">
                  <c:v>1.4509819431072846</c:v>
                </c:pt>
                <c:pt idx="36">
                  <c:v>1.4876756397913398</c:v>
                </c:pt>
                <c:pt idx="37">
                  <c:v>1.524369336475395</c:v>
                </c:pt>
                <c:pt idx="38">
                  <c:v>1.5610630331594502</c:v>
                </c:pt>
                <c:pt idx="39">
                  <c:v>1.5977567298435054</c:v>
                </c:pt>
                <c:pt idx="40">
                  <c:v>1.6344504265275606</c:v>
                </c:pt>
                <c:pt idx="41">
                  <c:v>1.6711441232116158</c:v>
                </c:pt>
                <c:pt idx="42">
                  <c:v>1.707837819895671</c:v>
                </c:pt>
                <c:pt idx="43">
                  <c:v>1.7445315165797262</c:v>
                </c:pt>
                <c:pt idx="44">
                  <c:v>1.7812252132637814</c:v>
                </c:pt>
                <c:pt idx="45">
                  <c:v>1.8179189099478366</c:v>
                </c:pt>
                <c:pt idx="46">
                  <c:v>1.8546126066318918</c:v>
                </c:pt>
                <c:pt idx="47">
                  <c:v>1.891306303315947</c:v>
                </c:pt>
                <c:pt idx="48">
                  <c:v>1.9280000000000002</c:v>
                </c:pt>
                <c:pt idx="49">
                  <c:v>1.9816000000000003</c:v>
                </c:pt>
                <c:pt idx="50">
                  <c:v>2.0352000000000001</c:v>
                </c:pt>
                <c:pt idx="51">
                  <c:v>2.0888</c:v>
                </c:pt>
                <c:pt idx="52">
                  <c:v>2.1423999999999999</c:v>
                </c:pt>
                <c:pt idx="53">
                  <c:v>2.1959999999999997</c:v>
                </c:pt>
                <c:pt idx="54">
                  <c:v>2.2495999999999996</c:v>
                </c:pt>
                <c:pt idx="55">
                  <c:v>2.3031999999999995</c:v>
                </c:pt>
                <c:pt idx="56">
                  <c:v>2.3567999999999993</c:v>
                </c:pt>
                <c:pt idx="57">
                  <c:v>2.4103999999999992</c:v>
                </c:pt>
                <c:pt idx="58">
                  <c:v>2.4639999999999991</c:v>
                </c:pt>
                <c:pt idx="59">
                  <c:v>2.5175999999999989</c:v>
                </c:pt>
                <c:pt idx="60">
                  <c:v>2.5711999999999988</c:v>
                </c:pt>
                <c:pt idx="61">
                  <c:v>2.6247999999999987</c:v>
                </c:pt>
                <c:pt idx="62">
                  <c:v>2.6783999999999986</c:v>
                </c:pt>
                <c:pt idx="63">
                  <c:v>2.7319999999999984</c:v>
                </c:pt>
                <c:pt idx="64">
                  <c:v>2.7855999999999983</c:v>
                </c:pt>
                <c:pt idx="65">
                  <c:v>2.8391999999999982</c:v>
                </c:pt>
                <c:pt idx="66">
                  <c:v>2.892799999999998</c:v>
                </c:pt>
                <c:pt idx="67">
                  <c:v>2.9463999999999979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  <c:pt idx="116">
                  <c:v>6.4</c:v>
                </c:pt>
                <c:pt idx="117">
                  <c:v>6.8</c:v>
                </c:pt>
                <c:pt idx="118">
                  <c:v>7.2</c:v>
                </c:pt>
                <c:pt idx="119">
                  <c:v>7.6</c:v>
                </c:pt>
                <c:pt idx="120">
                  <c:v>8</c:v>
                </c:pt>
                <c:pt idx="121">
                  <c:v>8.4</c:v>
                </c:pt>
                <c:pt idx="122">
                  <c:v>8.8000000000000007</c:v>
                </c:pt>
                <c:pt idx="123">
                  <c:v>9.1999999999999993</c:v>
                </c:pt>
                <c:pt idx="124">
                  <c:v>9.6</c:v>
                </c:pt>
                <c:pt idx="125">
                  <c:v>10</c:v>
                </c:pt>
              </c:numCache>
            </c:numRef>
          </c:xVal>
          <c:yVal>
            <c:numRef>
              <c:f>'Spettri y'!$AT$15:$AT$140</c:f>
              <c:numCache>
                <c:formatCode>0.00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0.29818653376555521</c:v>
                </c:pt>
                <c:pt idx="3">
                  <c:v>1.6661037688806417</c:v>
                </c:pt>
                <c:pt idx="4">
                  <c:v>3.7487334799814431</c:v>
                </c:pt>
                <c:pt idx="5">
                  <c:v>6.6644150755225624</c:v>
                </c:pt>
                <c:pt idx="6">
                  <c:v>10.413148555504005</c:v>
                </c:pt>
                <c:pt idx="7">
                  <c:v>14.994933919925773</c:v>
                </c:pt>
                <c:pt idx="8">
                  <c:v>16.190408135116883</c:v>
                </c:pt>
                <c:pt idx="9">
                  <c:v>17.385882350307998</c:v>
                </c:pt>
                <c:pt idx="10">
                  <c:v>18.581356565499107</c:v>
                </c:pt>
                <c:pt idx="11">
                  <c:v>19.776830780690222</c:v>
                </c:pt>
                <c:pt idx="12">
                  <c:v>20.972304995881338</c:v>
                </c:pt>
                <c:pt idx="13">
                  <c:v>22.16777921107245</c:v>
                </c:pt>
                <c:pt idx="14">
                  <c:v>23.363253426263562</c:v>
                </c:pt>
                <c:pt idx="15">
                  <c:v>24.558727641454674</c:v>
                </c:pt>
                <c:pt idx="16">
                  <c:v>25.754201856645786</c:v>
                </c:pt>
                <c:pt idx="17">
                  <c:v>26.949676071836901</c:v>
                </c:pt>
                <c:pt idx="18">
                  <c:v>28.145150287028013</c:v>
                </c:pt>
                <c:pt idx="19">
                  <c:v>29.340624502219121</c:v>
                </c:pt>
                <c:pt idx="20">
                  <c:v>30.536098717410241</c:v>
                </c:pt>
                <c:pt idx="21">
                  <c:v>31.731572932601349</c:v>
                </c:pt>
                <c:pt idx="22">
                  <c:v>32.927047147792464</c:v>
                </c:pt>
                <c:pt idx="23">
                  <c:v>34.122521362983569</c:v>
                </c:pt>
                <c:pt idx="24">
                  <c:v>35.317995578174688</c:v>
                </c:pt>
                <c:pt idx="25">
                  <c:v>36.513469793365793</c:v>
                </c:pt>
                <c:pt idx="26">
                  <c:v>37.708944008556898</c:v>
                </c:pt>
                <c:pt idx="27">
                  <c:v>38.904418223748024</c:v>
                </c:pt>
                <c:pt idx="28">
                  <c:v>38.904418223748024</c:v>
                </c:pt>
                <c:pt idx="29">
                  <c:v>40.099892438939136</c:v>
                </c:pt>
                <c:pt idx="30">
                  <c:v>41.295366654130248</c:v>
                </c:pt>
                <c:pt idx="31">
                  <c:v>42.490840869321367</c:v>
                </c:pt>
                <c:pt idx="32">
                  <c:v>43.686315084512486</c:v>
                </c:pt>
                <c:pt idx="33">
                  <c:v>44.881789299703605</c:v>
                </c:pt>
                <c:pt idx="34">
                  <c:v>46.077263514894717</c:v>
                </c:pt>
                <c:pt idx="35">
                  <c:v>47.272737730085829</c:v>
                </c:pt>
                <c:pt idx="36">
                  <c:v>48.468211945276956</c:v>
                </c:pt>
                <c:pt idx="37">
                  <c:v>49.663686160468075</c:v>
                </c:pt>
                <c:pt idx="38">
                  <c:v>50.859160375659179</c:v>
                </c:pt>
                <c:pt idx="39">
                  <c:v>52.054634590850306</c:v>
                </c:pt>
                <c:pt idx="40">
                  <c:v>53.250108806041425</c:v>
                </c:pt>
                <c:pt idx="41">
                  <c:v>54.445583021232537</c:v>
                </c:pt>
                <c:pt idx="42">
                  <c:v>55.641057236423649</c:v>
                </c:pt>
                <c:pt idx="43">
                  <c:v>56.836531451614761</c:v>
                </c:pt>
                <c:pt idx="44">
                  <c:v>58.03200566680588</c:v>
                </c:pt>
                <c:pt idx="45">
                  <c:v>59.227479881996999</c:v>
                </c:pt>
                <c:pt idx="46">
                  <c:v>60.422954097188111</c:v>
                </c:pt>
                <c:pt idx="47">
                  <c:v>61.618428312379223</c:v>
                </c:pt>
                <c:pt idx="48">
                  <c:v>62.813902527570264</c:v>
                </c:pt>
                <c:pt idx="49">
                  <c:v>62.813902527570278</c:v>
                </c:pt>
                <c:pt idx="50">
                  <c:v>62.813902527570285</c:v>
                </c:pt>
                <c:pt idx="51">
                  <c:v>62.813902527570278</c:v>
                </c:pt>
                <c:pt idx="52">
                  <c:v>62.813902527570278</c:v>
                </c:pt>
                <c:pt idx="53">
                  <c:v>62.813902527570278</c:v>
                </c:pt>
                <c:pt idx="54">
                  <c:v>62.813902527570278</c:v>
                </c:pt>
                <c:pt idx="55">
                  <c:v>62.813902527570278</c:v>
                </c:pt>
                <c:pt idx="56">
                  <c:v>62.813902527570278</c:v>
                </c:pt>
                <c:pt idx="57">
                  <c:v>62.813902527570278</c:v>
                </c:pt>
                <c:pt idx="58">
                  <c:v>62.813902527570278</c:v>
                </c:pt>
                <c:pt idx="59">
                  <c:v>62.813902527570278</c:v>
                </c:pt>
                <c:pt idx="60">
                  <c:v>62.813902527570278</c:v>
                </c:pt>
                <c:pt idx="61">
                  <c:v>62.813902527570278</c:v>
                </c:pt>
                <c:pt idx="62">
                  <c:v>62.813902527570264</c:v>
                </c:pt>
                <c:pt idx="63">
                  <c:v>62.813902527570278</c:v>
                </c:pt>
                <c:pt idx="64">
                  <c:v>62.813902527570264</c:v>
                </c:pt>
                <c:pt idx="65">
                  <c:v>62.813902527570278</c:v>
                </c:pt>
                <c:pt idx="66">
                  <c:v>62.813902527570285</c:v>
                </c:pt>
                <c:pt idx="67">
                  <c:v>62.813902527570278</c:v>
                </c:pt>
                <c:pt idx="68">
                  <c:v>62.813902527570264</c:v>
                </c:pt>
                <c:pt idx="69">
                  <c:v>62.813902527570264</c:v>
                </c:pt>
                <c:pt idx="70">
                  <c:v>62.813902527570264</c:v>
                </c:pt>
                <c:pt idx="71">
                  <c:v>62.813902527570264</c:v>
                </c:pt>
                <c:pt idx="72">
                  <c:v>62.813902527570264</c:v>
                </c:pt>
                <c:pt idx="73">
                  <c:v>62.813902527570264</c:v>
                </c:pt>
                <c:pt idx="74">
                  <c:v>62.813902527570264</c:v>
                </c:pt>
                <c:pt idx="75">
                  <c:v>62.813902527570264</c:v>
                </c:pt>
                <c:pt idx="76">
                  <c:v>62.813902527570264</c:v>
                </c:pt>
                <c:pt idx="77">
                  <c:v>62.813902527570264</c:v>
                </c:pt>
                <c:pt idx="78">
                  <c:v>62.813902527570264</c:v>
                </c:pt>
                <c:pt idx="79">
                  <c:v>62.813902527570264</c:v>
                </c:pt>
                <c:pt idx="80">
                  <c:v>62.813902527570264</c:v>
                </c:pt>
                <c:pt idx="81">
                  <c:v>62.813902527570264</c:v>
                </c:pt>
                <c:pt idx="82">
                  <c:v>62.813902527570264</c:v>
                </c:pt>
                <c:pt idx="83">
                  <c:v>62.813902527570264</c:v>
                </c:pt>
                <c:pt idx="84">
                  <c:v>62.813902527570264</c:v>
                </c:pt>
                <c:pt idx="85">
                  <c:v>62.813902527570264</c:v>
                </c:pt>
                <c:pt idx="86">
                  <c:v>62.813902527570264</c:v>
                </c:pt>
                <c:pt idx="87">
                  <c:v>62.813902527570264</c:v>
                </c:pt>
                <c:pt idx="88">
                  <c:v>62.813902527570264</c:v>
                </c:pt>
                <c:pt idx="89">
                  <c:v>62.813902527570264</c:v>
                </c:pt>
                <c:pt idx="90">
                  <c:v>62.813902527570278</c:v>
                </c:pt>
                <c:pt idx="91">
                  <c:v>62.813902527570278</c:v>
                </c:pt>
                <c:pt idx="92">
                  <c:v>62.813902527570278</c:v>
                </c:pt>
                <c:pt idx="93">
                  <c:v>62.813902527570278</c:v>
                </c:pt>
                <c:pt idx="94">
                  <c:v>62.813902527570278</c:v>
                </c:pt>
                <c:pt idx="95">
                  <c:v>62.813902527570278</c:v>
                </c:pt>
                <c:pt idx="96">
                  <c:v>62.813902527570278</c:v>
                </c:pt>
                <c:pt idx="97">
                  <c:v>62.813902527570264</c:v>
                </c:pt>
                <c:pt idx="98">
                  <c:v>62.813902527570278</c:v>
                </c:pt>
                <c:pt idx="99">
                  <c:v>62.813902527570278</c:v>
                </c:pt>
                <c:pt idx="100">
                  <c:v>62.813902527570278</c:v>
                </c:pt>
                <c:pt idx="101">
                  <c:v>62.813902527570278</c:v>
                </c:pt>
                <c:pt idx="102">
                  <c:v>62.813902527570278</c:v>
                </c:pt>
                <c:pt idx="103">
                  <c:v>62.813902527570278</c:v>
                </c:pt>
                <c:pt idx="104">
                  <c:v>62.813902527570278</c:v>
                </c:pt>
                <c:pt idx="105">
                  <c:v>62.813902527570278</c:v>
                </c:pt>
                <c:pt idx="106">
                  <c:v>62.813902527570278</c:v>
                </c:pt>
                <c:pt idx="107">
                  <c:v>62.813902527570278</c:v>
                </c:pt>
                <c:pt idx="108">
                  <c:v>62.813902527570278</c:v>
                </c:pt>
                <c:pt idx="109">
                  <c:v>62.813902527570264</c:v>
                </c:pt>
                <c:pt idx="110">
                  <c:v>62.813902527570278</c:v>
                </c:pt>
                <c:pt idx="111">
                  <c:v>62.813902527570264</c:v>
                </c:pt>
                <c:pt idx="112">
                  <c:v>62.813902527570285</c:v>
                </c:pt>
                <c:pt idx="113">
                  <c:v>62.813902527570278</c:v>
                </c:pt>
                <c:pt idx="114">
                  <c:v>62.813902527570278</c:v>
                </c:pt>
                <c:pt idx="115">
                  <c:v>62.813902527570264</c:v>
                </c:pt>
                <c:pt idx="116">
                  <c:v>59.244684231962218</c:v>
                </c:pt>
                <c:pt idx="117">
                  <c:v>55.675465936354179</c:v>
                </c:pt>
                <c:pt idx="118">
                  <c:v>52.106247640746119</c:v>
                </c:pt>
                <c:pt idx="119">
                  <c:v>48.537029345138073</c:v>
                </c:pt>
                <c:pt idx="120">
                  <c:v>44.96781104953002</c:v>
                </c:pt>
                <c:pt idx="121">
                  <c:v>41.39859275392196</c:v>
                </c:pt>
                <c:pt idx="122">
                  <c:v>37.829374458313907</c:v>
                </c:pt>
                <c:pt idx="123">
                  <c:v>34.260156162705869</c:v>
                </c:pt>
                <c:pt idx="124">
                  <c:v>30.690937867097816</c:v>
                </c:pt>
                <c:pt idx="125">
                  <c:v>27.121719571489759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E32-4B29-BD84-BC772A9B4E14}"/>
            </c:ext>
          </c:extLst>
        </c:ser>
        <c:ser>
          <c:idx val="3"/>
          <c:order val="4"/>
          <c:tx>
            <c:v>SLO</c:v>
          </c:tx>
          <c:spPr>
            <a:ln w="1270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xVal>
            <c:numRef>
              <c:f>'Spettri y'!$AM$15:$AM$140</c:f>
              <c:numCache>
                <c:formatCode>0.000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7.4581983584264488E-2</c:v>
                </c:pt>
                <c:pt idx="3">
                  <c:v>0.14916396716852898</c:v>
                </c:pt>
                <c:pt idx="4">
                  <c:v>0.22374595075279347</c:v>
                </c:pt>
                <c:pt idx="5">
                  <c:v>0.29832793433705795</c:v>
                </c:pt>
                <c:pt idx="6">
                  <c:v>0.37290991792132244</c:v>
                </c:pt>
                <c:pt idx="7">
                  <c:v>0.44749190150558693</c:v>
                </c:pt>
                <c:pt idx="8">
                  <c:v>0.48240460396794727</c:v>
                </c:pt>
                <c:pt idx="9">
                  <c:v>0.5173173064303076</c:v>
                </c:pt>
                <c:pt idx="10">
                  <c:v>0.55223000889266793</c:v>
                </c:pt>
                <c:pt idx="11">
                  <c:v>0.58714271135502827</c:v>
                </c:pt>
                <c:pt idx="12">
                  <c:v>0.6220554138173886</c:v>
                </c:pt>
                <c:pt idx="13">
                  <c:v>0.65696811627974894</c:v>
                </c:pt>
                <c:pt idx="14">
                  <c:v>0.69188081874210927</c:v>
                </c:pt>
                <c:pt idx="15">
                  <c:v>0.72679352120446961</c:v>
                </c:pt>
                <c:pt idx="16">
                  <c:v>0.76170622366682994</c:v>
                </c:pt>
                <c:pt idx="17">
                  <c:v>0.79661892612919027</c:v>
                </c:pt>
                <c:pt idx="18">
                  <c:v>0.83153162859155061</c:v>
                </c:pt>
                <c:pt idx="19">
                  <c:v>0.86644433105391094</c:v>
                </c:pt>
                <c:pt idx="20">
                  <c:v>0.90135703351627128</c:v>
                </c:pt>
                <c:pt idx="21">
                  <c:v>0.93626973597863161</c:v>
                </c:pt>
                <c:pt idx="22">
                  <c:v>0.97118243844099195</c:v>
                </c:pt>
                <c:pt idx="23">
                  <c:v>1.0060951409033523</c:v>
                </c:pt>
                <c:pt idx="24">
                  <c:v>1.0410078433657126</c:v>
                </c:pt>
                <c:pt idx="25">
                  <c:v>1.0759205458280729</c:v>
                </c:pt>
                <c:pt idx="26">
                  <c:v>1.1108332482904333</c:v>
                </c:pt>
                <c:pt idx="27">
                  <c:v>1.1457459507527936</c:v>
                </c:pt>
                <c:pt idx="28">
                  <c:v>1.1457459507527936</c:v>
                </c:pt>
                <c:pt idx="29">
                  <c:v>1.180658653215154</c:v>
                </c:pt>
                <c:pt idx="30">
                  <c:v>1.2155713556775143</c:v>
                </c:pt>
                <c:pt idx="31">
                  <c:v>1.2504840581398746</c:v>
                </c:pt>
                <c:pt idx="32">
                  <c:v>1.285396760602235</c:v>
                </c:pt>
                <c:pt idx="33">
                  <c:v>1.3203094630645953</c:v>
                </c:pt>
                <c:pt idx="34">
                  <c:v>1.3552221655269556</c:v>
                </c:pt>
                <c:pt idx="35">
                  <c:v>1.390134867989316</c:v>
                </c:pt>
                <c:pt idx="36">
                  <c:v>1.4250475704516763</c:v>
                </c:pt>
                <c:pt idx="37">
                  <c:v>1.4599602729140366</c:v>
                </c:pt>
                <c:pt idx="38">
                  <c:v>1.494872975376397</c:v>
                </c:pt>
                <c:pt idx="39">
                  <c:v>1.5297856778387573</c:v>
                </c:pt>
                <c:pt idx="40">
                  <c:v>1.5646983803011176</c:v>
                </c:pt>
                <c:pt idx="41">
                  <c:v>1.599611082763478</c:v>
                </c:pt>
                <c:pt idx="42">
                  <c:v>1.6345237852258383</c:v>
                </c:pt>
                <c:pt idx="43">
                  <c:v>1.6694364876881986</c:v>
                </c:pt>
                <c:pt idx="44">
                  <c:v>1.704349190150559</c:v>
                </c:pt>
                <c:pt idx="45">
                  <c:v>1.7392618926129193</c:v>
                </c:pt>
                <c:pt idx="46">
                  <c:v>1.7741745950752796</c:v>
                </c:pt>
                <c:pt idx="47">
                  <c:v>1.80908729753764</c:v>
                </c:pt>
                <c:pt idx="48">
                  <c:v>1.8440000000000001</c:v>
                </c:pt>
                <c:pt idx="49">
                  <c:v>1.8729</c:v>
                </c:pt>
                <c:pt idx="50">
                  <c:v>1.9017999999999999</c:v>
                </c:pt>
                <c:pt idx="51">
                  <c:v>1.9306999999999999</c:v>
                </c:pt>
                <c:pt idx="52">
                  <c:v>1.9595999999999998</c:v>
                </c:pt>
                <c:pt idx="53">
                  <c:v>1.9884999999999997</c:v>
                </c:pt>
                <c:pt idx="54">
                  <c:v>2.0173999999999999</c:v>
                </c:pt>
                <c:pt idx="55">
                  <c:v>2.0463</c:v>
                </c:pt>
                <c:pt idx="56">
                  <c:v>2.0752000000000002</c:v>
                </c:pt>
                <c:pt idx="57">
                  <c:v>2.1041000000000003</c:v>
                </c:pt>
                <c:pt idx="58">
                  <c:v>2.1330000000000005</c:v>
                </c:pt>
                <c:pt idx="59">
                  <c:v>2.1619000000000006</c:v>
                </c:pt>
                <c:pt idx="60">
                  <c:v>2.1908000000000007</c:v>
                </c:pt>
                <c:pt idx="61">
                  <c:v>2.2197000000000009</c:v>
                </c:pt>
                <c:pt idx="62">
                  <c:v>2.248600000000001</c:v>
                </c:pt>
                <c:pt idx="63">
                  <c:v>2.2775000000000012</c:v>
                </c:pt>
                <c:pt idx="64">
                  <c:v>2.3064000000000013</c:v>
                </c:pt>
                <c:pt idx="65">
                  <c:v>2.3353000000000015</c:v>
                </c:pt>
                <c:pt idx="66">
                  <c:v>2.3642000000000016</c:v>
                </c:pt>
                <c:pt idx="67">
                  <c:v>2.3931000000000018</c:v>
                </c:pt>
                <c:pt idx="68">
                  <c:v>2.4220000000000002</c:v>
                </c:pt>
                <c:pt idx="69">
                  <c:v>2.4220000000000002</c:v>
                </c:pt>
                <c:pt idx="70">
                  <c:v>2.4509000000000003</c:v>
                </c:pt>
                <c:pt idx="71">
                  <c:v>2.4798000000000004</c:v>
                </c:pt>
                <c:pt idx="72">
                  <c:v>2.5087000000000006</c:v>
                </c:pt>
                <c:pt idx="73">
                  <c:v>2.5376000000000007</c:v>
                </c:pt>
                <c:pt idx="74">
                  <c:v>2.5665000000000009</c:v>
                </c:pt>
                <c:pt idx="75">
                  <c:v>2.595400000000001</c:v>
                </c:pt>
                <c:pt idx="76">
                  <c:v>2.6243000000000012</c:v>
                </c:pt>
                <c:pt idx="77">
                  <c:v>2.6532000000000013</c:v>
                </c:pt>
                <c:pt idx="78">
                  <c:v>2.6821000000000015</c:v>
                </c:pt>
                <c:pt idx="79">
                  <c:v>2.7110000000000016</c:v>
                </c:pt>
                <c:pt idx="80">
                  <c:v>2.7399000000000018</c:v>
                </c:pt>
                <c:pt idx="81">
                  <c:v>2.7688000000000019</c:v>
                </c:pt>
                <c:pt idx="82">
                  <c:v>2.7977000000000021</c:v>
                </c:pt>
                <c:pt idx="83">
                  <c:v>2.8266000000000022</c:v>
                </c:pt>
                <c:pt idx="84">
                  <c:v>2.8555000000000024</c:v>
                </c:pt>
                <c:pt idx="85">
                  <c:v>2.8844000000000025</c:v>
                </c:pt>
                <c:pt idx="86">
                  <c:v>2.9133000000000027</c:v>
                </c:pt>
                <c:pt idx="87">
                  <c:v>2.9422000000000028</c:v>
                </c:pt>
                <c:pt idx="88">
                  <c:v>2.971100000000003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  <c:pt idx="116">
                  <c:v>6.4</c:v>
                </c:pt>
                <c:pt idx="117">
                  <c:v>6.8</c:v>
                </c:pt>
                <c:pt idx="118">
                  <c:v>7.2</c:v>
                </c:pt>
                <c:pt idx="119">
                  <c:v>7.6</c:v>
                </c:pt>
                <c:pt idx="120">
                  <c:v>8</c:v>
                </c:pt>
                <c:pt idx="121">
                  <c:v>8.4</c:v>
                </c:pt>
                <c:pt idx="122">
                  <c:v>8.8000000000000007</c:v>
                </c:pt>
                <c:pt idx="123">
                  <c:v>9.1999999999999993</c:v>
                </c:pt>
                <c:pt idx="124">
                  <c:v>9.6</c:v>
                </c:pt>
                <c:pt idx="125">
                  <c:v>10</c:v>
                </c:pt>
              </c:numCache>
            </c:numRef>
          </c:xVal>
          <c:yVal>
            <c:numRef>
              <c:f>'Spettri y'!$AP$15:$AP$140</c:f>
              <c:numCache>
                <c:formatCode>0.00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0.21247483753023669</c:v>
                </c:pt>
                <c:pt idx="3">
                  <c:v>1.193906229931806</c:v>
                </c:pt>
                <c:pt idx="4">
                  <c:v>2.6862890173465641</c:v>
                </c:pt>
                <c:pt idx="5">
                  <c:v>4.7756249197272238</c:v>
                </c:pt>
                <c:pt idx="6">
                  <c:v>7.4619139370737892</c:v>
                </c:pt>
                <c:pt idx="7">
                  <c:v>10.745156069386256</c:v>
                </c:pt>
                <c:pt idx="8">
                  <c:v>11.583478361923708</c:v>
                </c:pt>
                <c:pt idx="9">
                  <c:v>12.421800654461162</c:v>
                </c:pt>
                <c:pt idx="10">
                  <c:v>13.260122946998615</c:v>
                </c:pt>
                <c:pt idx="11">
                  <c:v>14.098445239536069</c:v>
                </c:pt>
                <c:pt idx="12">
                  <c:v>14.936767532073519</c:v>
                </c:pt>
                <c:pt idx="13">
                  <c:v>15.775089824610973</c:v>
                </c:pt>
                <c:pt idx="14">
                  <c:v>16.613412117148425</c:v>
                </c:pt>
                <c:pt idx="15">
                  <c:v>17.451734409685876</c:v>
                </c:pt>
                <c:pt idx="16">
                  <c:v>18.290056702223332</c:v>
                </c:pt>
                <c:pt idx="17">
                  <c:v>19.12837899476078</c:v>
                </c:pt>
                <c:pt idx="18">
                  <c:v>19.966701287298235</c:v>
                </c:pt>
                <c:pt idx="19">
                  <c:v>20.805023579835687</c:v>
                </c:pt>
                <c:pt idx="20">
                  <c:v>21.643345872373139</c:v>
                </c:pt>
                <c:pt idx="21">
                  <c:v>22.481668164910591</c:v>
                </c:pt>
                <c:pt idx="22">
                  <c:v>23.319990457448046</c:v>
                </c:pt>
                <c:pt idx="23">
                  <c:v>24.158312749985498</c:v>
                </c:pt>
                <c:pt idx="24">
                  <c:v>24.996635042522954</c:v>
                </c:pt>
                <c:pt idx="25">
                  <c:v>25.834957335060405</c:v>
                </c:pt>
                <c:pt idx="26">
                  <c:v>26.673279627597854</c:v>
                </c:pt>
                <c:pt idx="27">
                  <c:v>27.511601920135309</c:v>
                </c:pt>
                <c:pt idx="28">
                  <c:v>27.511601920135309</c:v>
                </c:pt>
                <c:pt idx="29">
                  <c:v>28.349924212672757</c:v>
                </c:pt>
                <c:pt idx="30">
                  <c:v>29.188246505210216</c:v>
                </c:pt>
                <c:pt idx="31">
                  <c:v>30.026568797747665</c:v>
                </c:pt>
                <c:pt idx="32">
                  <c:v>30.864891090285123</c:v>
                </c:pt>
                <c:pt idx="33">
                  <c:v>31.703213382822568</c:v>
                </c:pt>
                <c:pt idx="34">
                  <c:v>32.541535675360031</c:v>
                </c:pt>
                <c:pt idx="35">
                  <c:v>33.379857967897479</c:v>
                </c:pt>
                <c:pt idx="36">
                  <c:v>34.218180260434927</c:v>
                </c:pt>
                <c:pt idx="37">
                  <c:v>35.056502552972383</c:v>
                </c:pt>
                <c:pt idx="38">
                  <c:v>35.894824845509838</c:v>
                </c:pt>
                <c:pt idx="39">
                  <c:v>36.733147138047293</c:v>
                </c:pt>
                <c:pt idx="40">
                  <c:v>37.571469430584742</c:v>
                </c:pt>
                <c:pt idx="41">
                  <c:v>38.409791723122197</c:v>
                </c:pt>
                <c:pt idx="42">
                  <c:v>39.248114015659652</c:v>
                </c:pt>
                <c:pt idx="43">
                  <c:v>40.086436308197094</c:v>
                </c:pt>
                <c:pt idx="44">
                  <c:v>40.924758600734556</c:v>
                </c:pt>
                <c:pt idx="45">
                  <c:v>41.763080893271997</c:v>
                </c:pt>
                <c:pt idx="46">
                  <c:v>42.601403185809467</c:v>
                </c:pt>
                <c:pt idx="47">
                  <c:v>43.439725478346915</c:v>
                </c:pt>
                <c:pt idx="48">
                  <c:v>44.278047770884356</c:v>
                </c:pt>
                <c:pt idx="49">
                  <c:v>44.278047770884356</c:v>
                </c:pt>
                <c:pt idx="50">
                  <c:v>44.278047770884356</c:v>
                </c:pt>
                <c:pt idx="51">
                  <c:v>44.278047770884356</c:v>
                </c:pt>
                <c:pt idx="52">
                  <c:v>44.278047770884356</c:v>
                </c:pt>
                <c:pt idx="53">
                  <c:v>44.278047770884363</c:v>
                </c:pt>
                <c:pt idx="54">
                  <c:v>44.278047770884356</c:v>
                </c:pt>
                <c:pt idx="55">
                  <c:v>44.278047770884356</c:v>
                </c:pt>
                <c:pt idx="56">
                  <c:v>44.278047770884363</c:v>
                </c:pt>
                <c:pt idx="57">
                  <c:v>44.278047770884356</c:v>
                </c:pt>
                <c:pt idx="58">
                  <c:v>44.278047770884356</c:v>
                </c:pt>
                <c:pt idx="59">
                  <c:v>44.278047770884363</c:v>
                </c:pt>
                <c:pt idx="60">
                  <c:v>44.278047770884363</c:v>
                </c:pt>
                <c:pt idx="61">
                  <c:v>44.278047770884356</c:v>
                </c:pt>
                <c:pt idx="62">
                  <c:v>44.278047770884356</c:v>
                </c:pt>
                <c:pt idx="63">
                  <c:v>44.278047770884356</c:v>
                </c:pt>
                <c:pt idx="64">
                  <c:v>44.27804777088437</c:v>
                </c:pt>
                <c:pt idx="65">
                  <c:v>44.278047770884363</c:v>
                </c:pt>
                <c:pt idx="66">
                  <c:v>44.278047770884356</c:v>
                </c:pt>
                <c:pt idx="67">
                  <c:v>44.278047770884363</c:v>
                </c:pt>
                <c:pt idx="68">
                  <c:v>44.278047770884356</c:v>
                </c:pt>
                <c:pt idx="69">
                  <c:v>44.278047770884356</c:v>
                </c:pt>
                <c:pt idx="70">
                  <c:v>44.278047770884363</c:v>
                </c:pt>
                <c:pt idx="71">
                  <c:v>44.278047770884363</c:v>
                </c:pt>
                <c:pt idx="72">
                  <c:v>44.278047770884356</c:v>
                </c:pt>
                <c:pt idx="73">
                  <c:v>44.278047770884363</c:v>
                </c:pt>
                <c:pt idx="74">
                  <c:v>44.278047770884356</c:v>
                </c:pt>
                <c:pt idx="75">
                  <c:v>44.278047770884356</c:v>
                </c:pt>
                <c:pt idx="76">
                  <c:v>44.278047770884356</c:v>
                </c:pt>
                <c:pt idx="77">
                  <c:v>44.278047770884356</c:v>
                </c:pt>
                <c:pt idx="78">
                  <c:v>44.278047770884356</c:v>
                </c:pt>
                <c:pt idx="79">
                  <c:v>44.278047770884356</c:v>
                </c:pt>
                <c:pt idx="80">
                  <c:v>44.278047770884363</c:v>
                </c:pt>
                <c:pt idx="81">
                  <c:v>44.278047770884363</c:v>
                </c:pt>
                <c:pt idx="82">
                  <c:v>44.278047770884363</c:v>
                </c:pt>
                <c:pt idx="83">
                  <c:v>44.278047770884356</c:v>
                </c:pt>
                <c:pt idx="84">
                  <c:v>44.278047770884356</c:v>
                </c:pt>
                <c:pt idx="85">
                  <c:v>44.278047770884363</c:v>
                </c:pt>
                <c:pt idx="86">
                  <c:v>44.278047770884356</c:v>
                </c:pt>
                <c:pt idx="87">
                  <c:v>44.278047770884356</c:v>
                </c:pt>
                <c:pt idx="88">
                  <c:v>44.278047770884356</c:v>
                </c:pt>
                <c:pt idx="89">
                  <c:v>44.278047770884356</c:v>
                </c:pt>
                <c:pt idx="90">
                  <c:v>44.278047770884356</c:v>
                </c:pt>
                <c:pt idx="91">
                  <c:v>44.278047770884356</c:v>
                </c:pt>
                <c:pt idx="92">
                  <c:v>44.27804777088437</c:v>
                </c:pt>
                <c:pt idx="93">
                  <c:v>44.278047770884356</c:v>
                </c:pt>
                <c:pt idx="94">
                  <c:v>44.278047770884356</c:v>
                </c:pt>
                <c:pt idx="95">
                  <c:v>44.278047770884356</c:v>
                </c:pt>
                <c:pt idx="96">
                  <c:v>44.278047770884363</c:v>
                </c:pt>
                <c:pt idx="97">
                  <c:v>44.278047770884356</c:v>
                </c:pt>
                <c:pt idx="98">
                  <c:v>44.278047770884356</c:v>
                </c:pt>
                <c:pt idx="99">
                  <c:v>44.278047770884356</c:v>
                </c:pt>
                <c:pt idx="100">
                  <c:v>44.278047770884363</c:v>
                </c:pt>
                <c:pt idx="101">
                  <c:v>44.278047770884363</c:v>
                </c:pt>
                <c:pt idx="102">
                  <c:v>44.278047770884363</c:v>
                </c:pt>
                <c:pt idx="103">
                  <c:v>44.278047770884363</c:v>
                </c:pt>
                <c:pt idx="104">
                  <c:v>44.278047770884356</c:v>
                </c:pt>
                <c:pt idx="105">
                  <c:v>44.278047770884356</c:v>
                </c:pt>
                <c:pt idx="106">
                  <c:v>44.278047770884356</c:v>
                </c:pt>
                <c:pt idx="107">
                  <c:v>44.278047770884356</c:v>
                </c:pt>
                <c:pt idx="108">
                  <c:v>44.278047770884363</c:v>
                </c:pt>
                <c:pt idx="109">
                  <c:v>44.278047770884356</c:v>
                </c:pt>
                <c:pt idx="110">
                  <c:v>44.278047770884356</c:v>
                </c:pt>
                <c:pt idx="111">
                  <c:v>44.278047770884356</c:v>
                </c:pt>
                <c:pt idx="112">
                  <c:v>44.278047770884363</c:v>
                </c:pt>
                <c:pt idx="113">
                  <c:v>44.278047770884356</c:v>
                </c:pt>
                <c:pt idx="114">
                  <c:v>44.278047770884356</c:v>
                </c:pt>
                <c:pt idx="115">
                  <c:v>44.278047770884356</c:v>
                </c:pt>
                <c:pt idx="116">
                  <c:v>41.726431458663903</c:v>
                </c:pt>
                <c:pt idx="117">
                  <c:v>39.17481514644345</c:v>
                </c:pt>
                <c:pt idx="118">
                  <c:v>36.623198834222997</c:v>
                </c:pt>
                <c:pt idx="119">
                  <c:v>34.071582522002544</c:v>
                </c:pt>
                <c:pt idx="120">
                  <c:v>31.519966209782087</c:v>
                </c:pt>
                <c:pt idx="121">
                  <c:v>28.96834989756163</c:v>
                </c:pt>
                <c:pt idx="122">
                  <c:v>26.416733585341174</c:v>
                </c:pt>
                <c:pt idx="123">
                  <c:v>23.865117273120728</c:v>
                </c:pt>
                <c:pt idx="124">
                  <c:v>21.313500960900271</c:v>
                </c:pt>
                <c:pt idx="125">
                  <c:v>18.761884648679814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E32-4B29-BD84-BC772A9B4E14}"/>
            </c:ext>
          </c:extLst>
        </c:ser>
        <c:ser>
          <c:idx val="4"/>
          <c:order val="5"/>
          <c:tx>
            <c:v/>
          </c:tx>
          <c:spPr>
            <a:ln>
              <a:solidFill>
                <a:schemeClr val="bg1"/>
              </a:solidFill>
            </a:ln>
          </c:spPr>
          <c:marker>
            <c:symbol val="none"/>
          </c:marker>
          <c:xVal>
            <c:numRef>
              <c:f>'Spettri di risposta NTC'!#REF!</c:f>
            </c:numRef>
          </c:xVal>
          <c:yVal>
            <c:numRef>
              <c:f>'Spettri di risposta NTC'!#REF!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E32-4B29-BD84-BC772A9B4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133632"/>
        <c:axId val="154135168"/>
      </c:scatterChart>
      <c:valAx>
        <c:axId val="154133632"/>
        <c:scaling>
          <c:orientation val="minMax"/>
          <c:max val="10"/>
          <c:min val="0"/>
        </c:scaling>
        <c:delete val="0"/>
        <c:axPos val="b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54135168"/>
        <c:crosses val="autoZero"/>
        <c:crossBetween val="midCat"/>
      </c:valAx>
      <c:valAx>
        <c:axId val="154135168"/>
        <c:scaling>
          <c:orientation val="minMax"/>
          <c:max val="45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54133632"/>
        <c:crosses val="autoZero"/>
        <c:crossBetween val="midCat"/>
      </c:valAx>
    </c:plotArea>
    <c:legend>
      <c:legendPos val="r"/>
      <c:legendEntry>
        <c:idx val="0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76501372711773008"/>
          <c:y val="0.19717102028913053"/>
          <c:w val="0.16818452380952367"/>
          <c:h val="0.30835275590551237"/>
        </c:manualLayout>
      </c:layout>
      <c:overlay val="1"/>
      <c:spPr>
        <a:solidFill>
          <a:schemeClr val="bg1"/>
        </a:solidFill>
      </c:spPr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en-US"/>
              <a:t>Spettri elastici e spettri di progetto SLV e SLD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5"/>
          <c:order val="0"/>
          <c:tx>
            <c:v/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'Spettri x'!$AA$21:$AA$22</c:f>
              <c:numCache>
                <c:formatCode>General</c:formatCode>
                <c:ptCount val="2"/>
                <c:pt idx="0">
                  <c:v>0.61099999999999999</c:v>
                </c:pt>
                <c:pt idx="1">
                  <c:v>0.61099999999999999</c:v>
                </c:pt>
              </c:numCache>
            </c:numRef>
          </c:xVal>
          <c:yVal>
            <c:numRef>
              <c:f>'Spettri x'!$AB$21:$AB$22</c:f>
              <c:numCache>
                <c:formatCode>0.000</c:formatCode>
                <c:ptCount val="2"/>
                <c:pt idx="0">
                  <c:v>0.69895013179366716</c:v>
                </c:pt>
                <c:pt idx="1">
                  <c:v>0.14871279399865259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B6-486F-B619-F0012056FDC8}"/>
            </c:ext>
          </c:extLst>
        </c:ser>
        <c:ser>
          <c:idx val="1"/>
          <c:order val="1"/>
          <c:tx>
            <c:v>Se,SLV</c:v>
          </c:tx>
          <c:spPr>
            <a:ln w="9525">
              <a:solidFill>
                <a:prstClr val="black"/>
              </a:solidFill>
              <a:prstDash val="dash"/>
            </a:ln>
          </c:spPr>
          <c:marker>
            <c:symbol val="none"/>
          </c:marker>
          <c:xVal>
            <c:numRef>
              <c:f>'Spettri x'!$AU$15:$AU$130</c:f>
              <c:numCache>
                <c:formatCode>0.000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8.8259349900035824E-2</c:v>
                </c:pt>
                <c:pt idx="3">
                  <c:v>0.17651869980007165</c:v>
                </c:pt>
                <c:pt idx="4">
                  <c:v>0.26477804970010749</c:v>
                </c:pt>
                <c:pt idx="5">
                  <c:v>0.35303739960014335</c:v>
                </c:pt>
                <c:pt idx="6">
                  <c:v>0.44129674950017916</c:v>
                </c:pt>
                <c:pt idx="7">
                  <c:v>0.52955609940021497</c:v>
                </c:pt>
                <c:pt idx="8">
                  <c:v>0.58131719691520956</c:v>
                </c:pt>
                <c:pt idx="9">
                  <c:v>0.63307829443020414</c:v>
                </c:pt>
                <c:pt idx="10">
                  <c:v>0.68483939194519872</c:v>
                </c:pt>
                <c:pt idx="11">
                  <c:v>0.7366004894601933</c:v>
                </c:pt>
                <c:pt idx="12">
                  <c:v>0.78836158697518788</c:v>
                </c:pt>
                <c:pt idx="13">
                  <c:v>0.84012268449018246</c:v>
                </c:pt>
                <c:pt idx="14">
                  <c:v>0.89188378200517704</c:v>
                </c:pt>
                <c:pt idx="15">
                  <c:v>0.94364487952017162</c:v>
                </c:pt>
                <c:pt idx="16">
                  <c:v>0.9954059770351662</c:v>
                </c:pt>
                <c:pt idx="17">
                  <c:v>1.0471670745501609</c:v>
                </c:pt>
                <c:pt idx="18">
                  <c:v>1.0989281720651556</c:v>
                </c:pt>
                <c:pt idx="19">
                  <c:v>1.1506892695801503</c:v>
                </c:pt>
                <c:pt idx="20">
                  <c:v>1.202450367095145</c:v>
                </c:pt>
                <c:pt idx="21">
                  <c:v>1.2542114646101397</c:v>
                </c:pt>
                <c:pt idx="22">
                  <c:v>1.3059725621251344</c:v>
                </c:pt>
                <c:pt idx="23">
                  <c:v>1.357733659640129</c:v>
                </c:pt>
                <c:pt idx="24">
                  <c:v>1.4094947571551237</c:v>
                </c:pt>
                <c:pt idx="25">
                  <c:v>1.4612558546701184</c:v>
                </c:pt>
                <c:pt idx="26">
                  <c:v>1.5130169521851131</c:v>
                </c:pt>
                <c:pt idx="27">
                  <c:v>1.5647780497001076</c:v>
                </c:pt>
                <c:pt idx="28">
                  <c:v>1.5647780497001076</c:v>
                </c:pt>
                <c:pt idx="29">
                  <c:v>1.6165391472151023</c:v>
                </c:pt>
                <c:pt idx="30">
                  <c:v>1.668300244730097</c:v>
                </c:pt>
                <c:pt idx="31">
                  <c:v>1.7200613422450917</c:v>
                </c:pt>
                <c:pt idx="32">
                  <c:v>1.7718224397600864</c:v>
                </c:pt>
                <c:pt idx="33">
                  <c:v>1.823583537275081</c:v>
                </c:pt>
                <c:pt idx="34">
                  <c:v>1.8753446347900757</c:v>
                </c:pt>
                <c:pt idx="35">
                  <c:v>1.9271057323050704</c:v>
                </c:pt>
                <c:pt idx="36">
                  <c:v>1.9788668298200651</c:v>
                </c:pt>
                <c:pt idx="37">
                  <c:v>2.0306279273350598</c:v>
                </c:pt>
                <c:pt idx="38">
                  <c:v>2.0823890248500545</c:v>
                </c:pt>
                <c:pt idx="39">
                  <c:v>2.1341501223650492</c:v>
                </c:pt>
                <c:pt idx="40">
                  <c:v>2.1859112198800439</c:v>
                </c:pt>
                <c:pt idx="41">
                  <c:v>2.2376723173950386</c:v>
                </c:pt>
                <c:pt idx="42">
                  <c:v>2.2894334149100333</c:v>
                </c:pt>
                <c:pt idx="43">
                  <c:v>2.341194512425028</c:v>
                </c:pt>
                <c:pt idx="44">
                  <c:v>2.3929556099400227</c:v>
                </c:pt>
                <c:pt idx="45">
                  <c:v>2.4447167074550173</c:v>
                </c:pt>
                <c:pt idx="46">
                  <c:v>2.496477804970012</c:v>
                </c:pt>
                <c:pt idx="47">
                  <c:v>2.5482389024850067</c:v>
                </c:pt>
                <c:pt idx="48">
                  <c:v>2.6</c:v>
                </c:pt>
                <c:pt idx="49">
                  <c:v>2.62</c:v>
                </c:pt>
                <c:pt idx="50">
                  <c:v>2.64</c:v>
                </c:pt>
                <c:pt idx="51">
                  <c:v>2.66</c:v>
                </c:pt>
                <c:pt idx="52">
                  <c:v>2.68</c:v>
                </c:pt>
                <c:pt idx="53">
                  <c:v>2.7</c:v>
                </c:pt>
                <c:pt idx="54">
                  <c:v>2.72</c:v>
                </c:pt>
                <c:pt idx="55">
                  <c:v>2.74</c:v>
                </c:pt>
                <c:pt idx="56">
                  <c:v>2.7600000000000002</c:v>
                </c:pt>
                <c:pt idx="57">
                  <c:v>2.7800000000000002</c:v>
                </c:pt>
                <c:pt idx="58">
                  <c:v>2.8000000000000003</c:v>
                </c:pt>
                <c:pt idx="59">
                  <c:v>2.8200000000000003</c:v>
                </c:pt>
                <c:pt idx="60">
                  <c:v>2.8400000000000003</c:v>
                </c:pt>
                <c:pt idx="61">
                  <c:v>2.8600000000000003</c:v>
                </c:pt>
                <c:pt idx="62">
                  <c:v>2.8800000000000003</c:v>
                </c:pt>
                <c:pt idx="63">
                  <c:v>2.9000000000000004</c:v>
                </c:pt>
                <c:pt idx="64">
                  <c:v>2.9200000000000004</c:v>
                </c:pt>
                <c:pt idx="65">
                  <c:v>2.9400000000000004</c:v>
                </c:pt>
                <c:pt idx="66">
                  <c:v>2.9600000000000004</c:v>
                </c:pt>
                <c:pt idx="67">
                  <c:v>2.9800000000000004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</c:numCache>
            </c:numRef>
          </c:xVal>
          <c:yVal>
            <c:numRef>
              <c:f>'Spettri x'!$AW$15:$AW$130</c:f>
              <c:numCache>
                <c:formatCode>0.0000</c:formatCode>
                <c:ptCount val="116"/>
                <c:pt idx="0">
                  <c:v>0.33462500000000001</c:v>
                </c:pt>
                <c:pt idx="1">
                  <c:v>0.33462500000000001</c:v>
                </c:pt>
                <c:pt idx="2">
                  <c:v>0.57053562499999999</c:v>
                </c:pt>
                <c:pt idx="3">
                  <c:v>0.80644625000000003</c:v>
                </c:pt>
                <c:pt idx="4">
                  <c:v>0.80644625000000003</c:v>
                </c:pt>
                <c:pt idx="5">
                  <c:v>0.80644625000000003</c:v>
                </c:pt>
                <c:pt idx="6">
                  <c:v>0.80644625000000003</c:v>
                </c:pt>
                <c:pt idx="7">
                  <c:v>0.80644625000000003</c:v>
                </c:pt>
                <c:pt idx="8">
                  <c:v>0.73463942369525503</c:v>
                </c:pt>
                <c:pt idx="9">
                  <c:v>0.67457458940414383</c:v>
                </c:pt>
                <c:pt idx="10">
                  <c:v>0.62358931969863107</c:v>
                </c:pt>
                <c:pt idx="11">
                  <c:v>0.57976954487078081</c:v>
                </c:pt>
                <c:pt idx="12">
                  <c:v>0.54170388002348402</c:v>
                </c:pt>
                <c:pt idx="13">
                  <c:v>0.50832876960712658</c:v>
                </c:pt>
                <c:pt idx="14">
                  <c:v>0.47882755482535694</c:v>
                </c:pt>
                <c:pt idx="15">
                  <c:v>0.45256275935400941</c:v>
                </c:pt>
                <c:pt idx="16">
                  <c:v>0.42902950191029776</c:v>
                </c:pt>
                <c:pt idx="17">
                  <c:v>0.40782272562321081</c:v>
                </c:pt>
                <c:pt idx="18">
                  <c:v>0.38861368866664225</c:v>
                </c:pt>
                <c:pt idx="19">
                  <c:v>0.37113279997974657</c:v>
                </c:pt>
                <c:pt idx="20">
                  <c:v>0.35515688814467239</c:v>
                </c:pt>
                <c:pt idx="21">
                  <c:v>0.34049962273202306</c:v>
                </c:pt>
                <c:pt idx="22">
                  <c:v>0.3270042134966471</c:v>
                </c:pt>
                <c:pt idx="23">
                  <c:v>0.31453777955178902</c:v>
                </c:pt>
                <c:pt idx="24">
                  <c:v>0.30298695923345687</c:v>
                </c:pt>
                <c:pt idx="25">
                  <c:v>0.29225445301797609</c:v>
                </c:pt>
                <c:pt idx="26">
                  <c:v>0.28225627605108372</c:v>
                </c:pt>
                <c:pt idx="27">
                  <c:v>0.2729195559765023</c:v>
                </c:pt>
                <c:pt idx="28">
                  <c:v>0.2729195559765023</c:v>
                </c:pt>
                <c:pt idx="29">
                  <c:v>0.26418075384171613</c:v>
                </c:pt>
                <c:pt idx="30">
                  <c:v>0.25598421619546158</c:v>
                </c:pt>
                <c:pt idx="31">
                  <c:v>0.24828098861202069</c:v>
                </c:pt>
                <c:pt idx="32">
                  <c:v>0.24102783718201271</c:v>
                </c:pt>
                <c:pt idx="33">
                  <c:v>0.23418643664883579</c:v>
                </c:pt>
                <c:pt idx="34">
                  <c:v>0.2277226929938321</c:v>
                </c:pt>
                <c:pt idx="35">
                  <c:v>0.22160617519159823</c:v>
                </c:pt>
                <c:pt idx="36">
                  <c:v>0.21580963614654267</c:v>
                </c:pt>
                <c:pt idx="37">
                  <c:v>0.2103086068979611</c:v>
                </c:pt>
                <c:pt idx="38">
                  <c:v>0.20508105134518831</c:v>
                </c:pt>
                <c:pt idx="39">
                  <c:v>0.20010707121796453</c:v>
                </c:pt>
                <c:pt idx="40">
                  <c:v>0.19536865296357567</c:v>
                </c:pt>
                <c:pt idx="41">
                  <c:v>0.19084944976353199</c:v>
                </c:pt>
                <c:pt idx="42">
                  <c:v>0.18653459312015525</c:v>
                </c:pt>
                <c:pt idx="43">
                  <c:v>0.18241052943677882</c:v>
                </c:pt>
                <c:pt idx="44">
                  <c:v>0.17846487780717105</c:v>
                </c:pt>
                <c:pt idx="45">
                  <c:v>0.17468630587079526</c:v>
                </c:pt>
                <c:pt idx="46">
                  <c:v>0.1710644211119115</c:v>
                </c:pt>
                <c:pt idx="47">
                  <c:v>0.16758967540659911</c:v>
                </c:pt>
                <c:pt idx="48">
                  <c:v>0.16425328097151176</c:v>
                </c:pt>
                <c:pt idx="49">
                  <c:v>0.16175516860430911</c:v>
                </c:pt>
                <c:pt idx="50">
                  <c:v>0.15931361618563755</c:v>
                </c:pt>
                <c:pt idx="51">
                  <c:v>0.15692692907561473</c:v>
                </c:pt>
                <c:pt idx="52">
                  <c:v>0.15459347563034911</c:v>
                </c:pt>
                <c:pt idx="53">
                  <c:v>0.15231168441254039</c:v>
                </c:pt>
                <c:pt idx="54">
                  <c:v>0.15008004154512047</c:v>
                </c:pt>
                <c:pt idx="55">
                  <c:v>0.14789708819961364</c:v>
                </c:pt>
                <c:pt idx="56">
                  <c:v>0.14576141821143396</c:v>
                </c:pt>
                <c:pt idx="57">
                  <c:v>0.14367167581484128</c:v>
                </c:pt>
                <c:pt idx="58">
                  <c:v>0.14162655349074227</c:v>
                </c:pt>
                <c:pt idx="59">
                  <c:v>0.13962478992095712</c:v>
                </c:pt>
                <c:pt idx="60">
                  <c:v>0.13766516804297502</c:v>
                </c:pt>
                <c:pt idx="61">
                  <c:v>0.13574651319959646</c:v>
                </c:pt>
                <c:pt idx="62">
                  <c:v>0.13386769137820934</c:v>
                </c:pt>
                <c:pt idx="63">
                  <c:v>0.13202760753477044</c:v>
                </c:pt>
                <c:pt idx="64">
                  <c:v>0.13022520399786772</c:v>
                </c:pt>
                <c:pt idx="65">
                  <c:v>0.12845945894851904</c:v>
                </c:pt>
                <c:pt idx="66">
                  <c:v>0.12672938497162839</c:v>
                </c:pt>
                <c:pt idx="67">
                  <c:v>0.12503402767526453</c:v>
                </c:pt>
                <c:pt idx="68">
                  <c:v>0.12337246437415773</c:v>
                </c:pt>
                <c:pt idx="69">
                  <c:v>0.12337246437415773</c:v>
                </c:pt>
                <c:pt idx="70">
                  <c:v>0.12337246437415773</c:v>
                </c:pt>
                <c:pt idx="71">
                  <c:v>0.12337246437415773</c:v>
                </c:pt>
                <c:pt idx="72">
                  <c:v>0.12337246437415773</c:v>
                </c:pt>
                <c:pt idx="73">
                  <c:v>0.12337246437415773</c:v>
                </c:pt>
                <c:pt idx="74">
                  <c:v>0.12337246437415773</c:v>
                </c:pt>
                <c:pt idx="75">
                  <c:v>0.12337246437415773</c:v>
                </c:pt>
                <c:pt idx="76">
                  <c:v>0.12337246437415773</c:v>
                </c:pt>
                <c:pt idx="77">
                  <c:v>0.12337246437415773</c:v>
                </c:pt>
                <c:pt idx="78">
                  <c:v>0.12337246437415773</c:v>
                </c:pt>
                <c:pt idx="79">
                  <c:v>0.12337246437415773</c:v>
                </c:pt>
                <c:pt idx="80">
                  <c:v>0.12337246437415773</c:v>
                </c:pt>
                <c:pt idx="81">
                  <c:v>0.12337246437415773</c:v>
                </c:pt>
                <c:pt idx="82">
                  <c:v>0.12337246437415773</c:v>
                </c:pt>
                <c:pt idx="83">
                  <c:v>0.12337246437415773</c:v>
                </c:pt>
                <c:pt idx="84">
                  <c:v>0.12337246437415773</c:v>
                </c:pt>
                <c:pt idx="85">
                  <c:v>0.12337246437415773</c:v>
                </c:pt>
                <c:pt idx="86">
                  <c:v>0.12337246437415773</c:v>
                </c:pt>
                <c:pt idx="87">
                  <c:v>0.12337246437415773</c:v>
                </c:pt>
                <c:pt idx="88">
                  <c:v>0.12337246437415773</c:v>
                </c:pt>
                <c:pt idx="89">
                  <c:v>0.12337246437415773</c:v>
                </c:pt>
                <c:pt idx="90">
                  <c:v>0.11440299851430813</c:v>
                </c:pt>
                <c:pt idx="91">
                  <c:v>0.10637727795526865</c:v>
                </c:pt>
                <c:pt idx="92">
                  <c:v>9.9167402992783135E-2</c:v>
                </c:pt>
                <c:pt idx="93">
                  <c:v>9.2666428796589581E-2</c:v>
                </c:pt>
                <c:pt idx="94">
                  <c:v>8.6784376604506358E-2</c:v>
                </c:pt>
                <c:pt idx="95">
                  <c:v>8.144510343450255E-2</c:v>
                </c:pt>
                <c:pt idx="96">
                  <c:v>7.6583825451726928E-2</c:v>
                </c:pt>
                <c:pt idx="97">
                  <c:v>7.2145143526756592E-2</c:v>
                </c:pt>
                <c:pt idx="98">
                  <c:v>6.8081457891371946E-2</c:v>
                </c:pt>
                <c:pt idx="99">
                  <c:v>6.435168666429833E-2</c:v>
                </c:pt>
                <c:pt idx="100">
                  <c:v>6.0920223460139269E-2</c:v>
                </c:pt>
                <c:pt idx="101">
                  <c:v>5.7756084430007397E-2</c:v>
                </c:pt>
                <c:pt idx="102">
                  <c:v>5.4832206388514583E-2</c:v>
                </c:pt>
                <c:pt idx="103">
                  <c:v>5.2124866198081689E-2</c:v>
                </c:pt>
                <c:pt idx="104">
                  <c:v>4.9613198046954618E-2</c:v>
                </c:pt>
                <c:pt idx="105">
                  <c:v>4.7278790202341686E-2</c:v>
                </c:pt>
                <c:pt idx="106">
                  <c:v>4.5105346628951187E-2</c:v>
                </c:pt>
                <c:pt idx="107">
                  <c:v>4.3078401816596459E-2</c:v>
                </c:pt>
                <c:pt idx="108">
                  <c:v>4.1185079465150994E-2</c:v>
                </c:pt>
                <c:pt idx="109">
                  <c:v>3.9413887484371822E-2</c:v>
                </c:pt>
                <c:pt idx="110">
                  <c:v>3.7754543194626879E-2</c:v>
                </c:pt>
                <c:pt idx="111">
                  <c:v>3.6197823748667875E-2</c:v>
                </c:pt>
                <c:pt idx="112">
                  <c:v>3.4735437699679635E-2</c:v>
                </c:pt>
                <c:pt idx="113">
                  <c:v>3.3359914366772325E-2</c:v>
                </c:pt>
                <c:pt idx="114">
                  <c:v>3.2064508234114115E-2</c:v>
                </c:pt>
                <c:pt idx="115">
                  <c:v>3.0843116093539433E-2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B6-486F-B619-F0012056FDC8}"/>
            </c:ext>
          </c:extLst>
        </c:ser>
        <c:ser>
          <c:idx val="0"/>
          <c:order val="2"/>
          <c:tx>
            <c:v>Sd,SLV</c:v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'Spettri x'!$BE$15:$BE$130</c:f>
              <c:numCache>
                <c:formatCode>0.000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8.8259349900035824E-2</c:v>
                </c:pt>
                <c:pt idx="3">
                  <c:v>0.17651869980007165</c:v>
                </c:pt>
                <c:pt idx="4">
                  <c:v>0.26477804970010749</c:v>
                </c:pt>
                <c:pt idx="5">
                  <c:v>0.35303739960014335</c:v>
                </c:pt>
                <c:pt idx="6">
                  <c:v>0.44129674950017916</c:v>
                </c:pt>
                <c:pt idx="7">
                  <c:v>0.52955609940021497</c:v>
                </c:pt>
                <c:pt idx="8">
                  <c:v>0.58131719691520956</c:v>
                </c:pt>
                <c:pt idx="9">
                  <c:v>0.63307829443020414</c:v>
                </c:pt>
                <c:pt idx="10">
                  <c:v>0.68483939194519872</c:v>
                </c:pt>
                <c:pt idx="11">
                  <c:v>0.7366004894601933</c:v>
                </c:pt>
                <c:pt idx="12">
                  <c:v>0.78836158697518788</c:v>
                </c:pt>
                <c:pt idx="13">
                  <c:v>0.84012268449018246</c:v>
                </c:pt>
                <c:pt idx="14">
                  <c:v>0.89188378200517704</c:v>
                </c:pt>
                <c:pt idx="15">
                  <c:v>0.94364487952017162</c:v>
                </c:pt>
                <c:pt idx="16">
                  <c:v>0.9954059770351662</c:v>
                </c:pt>
                <c:pt idx="17">
                  <c:v>1.0471670745501609</c:v>
                </c:pt>
                <c:pt idx="18">
                  <c:v>1.0989281720651556</c:v>
                </c:pt>
                <c:pt idx="19">
                  <c:v>1.1506892695801503</c:v>
                </c:pt>
                <c:pt idx="20">
                  <c:v>1.202450367095145</c:v>
                </c:pt>
                <c:pt idx="21">
                  <c:v>1.2542114646101397</c:v>
                </c:pt>
                <c:pt idx="22">
                  <c:v>1.3059725621251344</c:v>
                </c:pt>
                <c:pt idx="23">
                  <c:v>1.357733659640129</c:v>
                </c:pt>
                <c:pt idx="24">
                  <c:v>1.4094947571551237</c:v>
                </c:pt>
                <c:pt idx="25">
                  <c:v>1.4612558546701184</c:v>
                </c:pt>
                <c:pt idx="26">
                  <c:v>1.5130169521851131</c:v>
                </c:pt>
                <c:pt idx="27">
                  <c:v>1.5647780497001076</c:v>
                </c:pt>
                <c:pt idx="28">
                  <c:v>1.5647780497001076</c:v>
                </c:pt>
                <c:pt idx="29">
                  <c:v>1.6165391472151023</c:v>
                </c:pt>
                <c:pt idx="30">
                  <c:v>1.668300244730097</c:v>
                </c:pt>
                <c:pt idx="31">
                  <c:v>1.7200613422450917</c:v>
                </c:pt>
                <c:pt idx="32">
                  <c:v>1.7718224397600864</c:v>
                </c:pt>
                <c:pt idx="33">
                  <c:v>1.823583537275081</c:v>
                </c:pt>
                <c:pt idx="34">
                  <c:v>1.8753446347900757</c:v>
                </c:pt>
                <c:pt idx="35">
                  <c:v>1.9271057323050704</c:v>
                </c:pt>
                <c:pt idx="36">
                  <c:v>1.9788668298200651</c:v>
                </c:pt>
                <c:pt idx="37">
                  <c:v>2.0306279273350598</c:v>
                </c:pt>
                <c:pt idx="38">
                  <c:v>2.0823890248500545</c:v>
                </c:pt>
                <c:pt idx="39">
                  <c:v>2.1341501223650492</c:v>
                </c:pt>
                <c:pt idx="40">
                  <c:v>2.1859112198800439</c:v>
                </c:pt>
                <c:pt idx="41">
                  <c:v>2.2376723173950386</c:v>
                </c:pt>
                <c:pt idx="42">
                  <c:v>2.2894334149100333</c:v>
                </c:pt>
                <c:pt idx="43">
                  <c:v>2.341194512425028</c:v>
                </c:pt>
                <c:pt idx="44">
                  <c:v>2.3929556099400227</c:v>
                </c:pt>
                <c:pt idx="45">
                  <c:v>2.4447167074550173</c:v>
                </c:pt>
                <c:pt idx="46">
                  <c:v>2.496477804970012</c:v>
                </c:pt>
                <c:pt idx="47">
                  <c:v>2.5482389024850067</c:v>
                </c:pt>
                <c:pt idx="48">
                  <c:v>2.6</c:v>
                </c:pt>
                <c:pt idx="49">
                  <c:v>2.62</c:v>
                </c:pt>
                <c:pt idx="50">
                  <c:v>2.64</c:v>
                </c:pt>
                <c:pt idx="51">
                  <c:v>2.66</c:v>
                </c:pt>
                <c:pt idx="52">
                  <c:v>2.68</c:v>
                </c:pt>
                <c:pt idx="53">
                  <c:v>2.7</c:v>
                </c:pt>
                <c:pt idx="54">
                  <c:v>2.72</c:v>
                </c:pt>
                <c:pt idx="55">
                  <c:v>2.74</c:v>
                </c:pt>
                <c:pt idx="56">
                  <c:v>2.7600000000000002</c:v>
                </c:pt>
                <c:pt idx="57">
                  <c:v>2.7800000000000002</c:v>
                </c:pt>
                <c:pt idx="58">
                  <c:v>2.8000000000000003</c:v>
                </c:pt>
                <c:pt idx="59">
                  <c:v>2.8200000000000003</c:v>
                </c:pt>
                <c:pt idx="60">
                  <c:v>2.8400000000000003</c:v>
                </c:pt>
                <c:pt idx="61">
                  <c:v>2.8600000000000003</c:v>
                </c:pt>
                <c:pt idx="62">
                  <c:v>2.8800000000000003</c:v>
                </c:pt>
                <c:pt idx="63">
                  <c:v>2.9000000000000004</c:v>
                </c:pt>
                <c:pt idx="64">
                  <c:v>2.9200000000000004</c:v>
                </c:pt>
                <c:pt idx="65">
                  <c:v>2.9400000000000004</c:v>
                </c:pt>
                <c:pt idx="66">
                  <c:v>2.9600000000000004</c:v>
                </c:pt>
                <c:pt idx="67">
                  <c:v>2.9800000000000004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</c:numCache>
            </c:numRef>
          </c:xVal>
          <c:yVal>
            <c:numRef>
              <c:f>'Spettri x'!$BF$15:$BF$130</c:f>
              <c:numCache>
                <c:formatCode>0.000</c:formatCode>
                <c:ptCount val="116"/>
                <c:pt idx="0">
                  <c:v>0.33462500000000001</c:v>
                </c:pt>
                <c:pt idx="1">
                  <c:v>0.33462500000000001</c:v>
                </c:pt>
                <c:pt idx="2">
                  <c:v>0.25310465425531914</c:v>
                </c:pt>
                <c:pt idx="3">
                  <c:v>0.1715843085106383</c:v>
                </c:pt>
                <c:pt idx="4">
                  <c:v>0.1715843085106383</c:v>
                </c:pt>
                <c:pt idx="5">
                  <c:v>0.1715843085106383</c:v>
                </c:pt>
                <c:pt idx="6">
                  <c:v>0.1715843085106383</c:v>
                </c:pt>
                <c:pt idx="7">
                  <c:v>0.1715843085106383</c:v>
                </c:pt>
                <c:pt idx="8">
                  <c:v>0.15630626036069256</c:v>
                </c:pt>
                <c:pt idx="9">
                  <c:v>0.14352650838386039</c:v>
                </c:pt>
                <c:pt idx="10">
                  <c:v>0.1326785786592832</c:v>
                </c:pt>
                <c:pt idx="11">
                  <c:v>0.12335522231293208</c:v>
                </c:pt>
                <c:pt idx="12">
                  <c:v>0.11525614468584766</c:v>
                </c:pt>
                <c:pt idx="13">
                  <c:v>0.10815505736321841</c:v>
                </c:pt>
                <c:pt idx="14">
                  <c:v>0.10187820315433126</c:v>
                </c:pt>
                <c:pt idx="15">
                  <c:v>9.6289948798725405E-2</c:v>
                </c:pt>
                <c:pt idx="16">
                  <c:v>9.1282872746871857E-2</c:v>
                </c:pt>
                <c:pt idx="17">
                  <c:v>8.6770792685789536E-2</c:v>
                </c:pt>
                <c:pt idx="18">
                  <c:v>8.2683763546094094E-2</c:v>
                </c:pt>
                <c:pt idx="19">
                  <c:v>7.8964425527605644E-2</c:v>
                </c:pt>
                <c:pt idx="20">
                  <c:v>7.5565295349930298E-2</c:v>
                </c:pt>
                <c:pt idx="21">
                  <c:v>7.2446728240855962E-2</c:v>
                </c:pt>
                <c:pt idx="22">
                  <c:v>6.9575364573754697E-2</c:v>
                </c:pt>
                <c:pt idx="23">
                  <c:v>6.6922931819529574E-2</c:v>
                </c:pt>
                <c:pt idx="24">
                  <c:v>6.4465310475203583E-2</c:v>
                </c:pt>
                <c:pt idx="25">
                  <c:v>6.2181798514462996E-2</c:v>
                </c:pt>
                <c:pt idx="26">
                  <c:v>6.0054526819379513E-2</c:v>
                </c:pt>
                <c:pt idx="27">
                  <c:v>5.8067990633298358E-2</c:v>
                </c:pt>
                <c:pt idx="28">
                  <c:v>5.8067990633298358E-2</c:v>
                </c:pt>
                <c:pt idx="29">
                  <c:v>5.6208671030152368E-2</c:v>
                </c:pt>
                <c:pt idx="30">
                  <c:v>5.4464726850098205E-2</c:v>
                </c:pt>
                <c:pt idx="31">
                  <c:v>5.2825742257876743E-2</c:v>
                </c:pt>
                <c:pt idx="32">
                  <c:v>5.12825185493644E-2</c:v>
                </c:pt>
                <c:pt idx="33">
                  <c:v>0.05</c:v>
                </c:pt>
                <c:pt idx="34">
                  <c:v>0.05</c:v>
                </c:pt>
                <c:pt idx="35">
                  <c:v>0.05</c:v>
                </c:pt>
                <c:pt idx="36">
                  <c:v>0.05</c:v>
                </c:pt>
                <c:pt idx="37">
                  <c:v>0.05</c:v>
                </c:pt>
                <c:pt idx="38">
                  <c:v>0.05</c:v>
                </c:pt>
                <c:pt idx="39">
                  <c:v>0.05</c:v>
                </c:pt>
                <c:pt idx="40">
                  <c:v>0.05</c:v>
                </c:pt>
                <c:pt idx="41">
                  <c:v>0.05</c:v>
                </c:pt>
                <c:pt idx="42">
                  <c:v>0.05</c:v>
                </c:pt>
                <c:pt idx="43">
                  <c:v>0.05</c:v>
                </c:pt>
                <c:pt idx="44">
                  <c:v>0.05</c:v>
                </c:pt>
                <c:pt idx="45">
                  <c:v>0.05</c:v>
                </c:pt>
                <c:pt idx="46">
                  <c:v>0.05</c:v>
                </c:pt>
                <c:pt idx="47">
                  <c:v>0.05</c:v>
                </c:pt>
                <c:pt idx="48">
                  <c:v>0.05</c:v>
                </c:pt>
                <c:pt idx="49">
                  <c:v>0.05</c:v>
                </c:pt>
                <c:pt idx="50">
                  <c:v>0.05</c:v>
                </c:pt>
                <c:pt idx="51">
                  <c:v>0.05</c:v>
                </c:pt>
                <c:pt idx="52">
                  <c:v>0.05</c:v>
                </c:pt>
                <c:pt idx="53">
                  <c:v>0.05</c:v>
                </c:pt>
                <c:pt idx="54">
                  <c:v>0.05</c:v>
                </c:pt>
                <c:pt idx="55">
                  <c:v>0.05</c:v>
                </c:pt>
                <c:pt idx="56">
                  <c:v>0.05</c:v>
                </c:pt>
                <c:pt idx="57">
                  <c:v>0.05</c:v>
                </c:pt>
                <c:pt idx="58">
                  <c:v>0.05</c:v>
                </c:pt>
                <c:pt idx="59">
                  <c:v>0.05</c:v>
                </c:pt>
                <c:pt idx="60">
                  <c:v>0.05</c:v>
                </c:pt>
                <c:pt idx="61">
                  <c:v>0.05</c:v>
                </c:pt>
                <c:pt idx="62">
                  <c:v>0.05</c:v>
                </c:pt>
                <c:pt idx="63">
                  <c:v>0.05</c:v>
                </c:pt>
                <c:pt idx="64">
                  <c:v>0.05</c:v>
                </c:pt>
                <c:pt idx="65">
                  <c:v>0.05</c:v>
                </c:pt>
                <c:pt idx="66">
                  <c:v>0.05</c:v>
                </c:pt>
                <c:pt idx="67">
                  <c:v>0.05</c:v>
                </c:pt>
                <c:pt idx="68">
                  <c:v>0.05</c:v>
                </c:pt>
                <c:pt idx="69">
                  <c:v>0.05</c:v>
                </c:pt>
                <c:pt idx="70">
                  <c:v>0.05</c:v>
                </c:pt>
                <c:pt idx="71">
                  <c:v>0.05</c:v>
                </c:pt>
                <c:pt idx="72">
                  <c:v>0.05</c:v>
                </c:pt>
                <c:pt idx="73">
                  <c:v>0.05</c:v>
                </c:pt>
                <c:pt idx="74">
                  <c:v>0.05</c:v>
                </c:pt>
                <c:pt idx="75">
                  <c:v>0.05</c:v>
                </c:pt>
                <c:pt idx="76">
                  <c:v>0.05</c:v>
                </c:pt>
                <c:pt idx="77">
                  <c:v>0.05</c:v>
                </c:pt>
                <c:pt idx="78">
                  <c:v>0.05</c:v>
                </c:pt>
                <c:pt idx="79">
                  <c:v>0.05</c:v>
                </c:pt>
                <c:pt idx="80">
                  <c:v>0.05</c:v>
                </c:pt>
                <c:pt idx="81">
                  <c:v>0.05</c:v>
                </c:pt>
                <c:pt idx="82">
                  <c:v>0.05</c:v>
                </c:pt>
                <c:pt idx="83">
                  <c:v>0.05</c:v>
                </c:pt>
                <c:pt idx="84">
                  <c:v>0.05</c:v>
                </c:pt>
                <c:pt idx="85">
                  <c:v>0.05</c:v>
                </c:pt>
                <c:pt idx="86">
                  <c:v>0.05</c:v>
                </c:pt>
                <c:pt idx="87">
                  <c:v>0.05</c:v>
                </c:pt>
                <c:pt idx="88">
                  <c:v>0.05</c:v>
                </c:pt>
                <c:pt idx="89">
                  <c:v>0.05</c:v>
                </c:pt>
                <c:pt idx="90">
                  <c:v>0.05</c:v>
                </c:pt>
                <c:pt idx="91">
                  <c:v>0.05</c:v>
                </c:pt>
                <c:pt idx="92">
                  <c:v>0.05</c:v>
                </c:pt>
                <c:pt idx="93">
                  <c:v>0.05</c:v>
                </c:pt>
                <c:pt idx="94">
                  <c:v>0.05</c:v>
                </c:pt>
                <c:pt idx="95">
                  <c:v>0.05</c:v>
                </c:pt>
                <c:pt idx="96">
                  <c:v>0.05</c:v>
                </c:pt>
                <c:pt idx="97">
                  <c:v>0.05</c:v>
                </c:pt>
                <c:pt idx="98">
                  <c:v>0.05</c:v>
                </c:pt>
                <c:pt idx="99">
                  <c:v>0.05</c:v>
                </c:pt>
                <c:pt idx="100">
                  <c:v>0.05</c:v>
                </c:pt>
                <c:pt idx="101">
                  <c:v>0.05</c:v>
                </c:pt>
                <c:pt idx="102">
                  <c:v>0.05</c:v>
                </c:pt>
                <c:pt idx="103">
                  <c:v>0.05</c:v>
                </c:pt>
                <c:pt idx="104">
                  <c:v>0.05</c:v>
                </c:pt>
                <c:pt idx="105">
                  <c:v>0.05</c:v>
                </c:pt>
                <c:pt idx="106">
                  <c:v>0.05</c:v>
                </c:pt>
                <c:pt idx="107">
                  <c:v>0.05</c:v>
                </c:pt>
                <c:pt idx="108">
                  <c:v>0.05</c:v>
                </c:pt>
                <c:pt idx="109">
                  <c:v>0.05</c:v>
                </c:pt>
                <c:pt idx="110">
                  <c:v>0.05</c:v>
                </c:pt>
                <c:pt idx="111">
                  <c:v>0.05</c:v>
                </c:pt>
                <c:pt idx="112">
                  <c:v>0.05</c:v>
                </c:pt>
                <c:pt idx="113">
                  <c:v>0.05</c:v>
                </c:pt>
                <c:pt idx="114">
                  <c:v>0.05</c:v>
                </c:pt>
                <c:pt idx="115">
                  <c:v>0.05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6B6-486F-B619-F0012056FDC8}"/>
            </c:ext>
          </c:extLst>
        </c:ser>
        <c:ser>
          <c:idx val="2"/>
          <c:order val="3"/>
          <c:tx>
            <c:v>Se,SLD</c:v>
          </c:tx>
          <c:spPr>
            <a:ln w="12700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'Spettri x'!$AQ$15:$AQ$130</c:f>
              <c:numCache>
                <c:formatCode>0.000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7.6708688772966063E-2</c:v>
                </c:pt>
                <c:pt idx="3">
                  <c:v>0.15341737754593213</c:v>
                </c:pt>
                <c:pt idx="4">
                  <c:v>0.23012606631889818</c:v>
                </c:pt>
                <c:pt idx="5">
                  <c:v>0.3068347550918642</c:v>
                </c:pt>
                <c:pt idx="6">
                  <c:v>0.38354344386483025</c:v>
                </c:pt>
                <c:pt idx="7">
                  <c:v>0.46025213263779635</c:v>
                </c:pt>
                <c:pt idx="8">
                  <c:v>0.49694582932185144</c:v>
                </c:pt>
                <c:pt idx="9">
                  <c:v>0.53363952600590658</c:v>
                </c:pt>
                <c:pt idx="10">
                  <c:v>0.57033322268996167</c:v>
                </c:pt>
                <c:pt idx="11">
                  <c:v>0.60702691937401676</c:v>
                </c:pt>
                <c:pt idx="12">
                  <c:v>0.64372061605807185</c:v>
                </c:pt>
                <c:pt idx="13">
                  <c:v>0.68041431274212694</c:v>
                </c:pt>
                <c:pt idx="14">
                  <c:v>0.71710800942618202</c:v>
                </c:pt>
                <c:pt idx="15">
                  <c:v>0.75380170611023711</c:v>
                </c:pt>
                <c:pt idx="16">
                  <c:v>0.7904954027942922</c:v>
                </c:pt>
                <c:pt idx="17">
                  <c:v>0.82718909947834729</c:v>
                </c:pt>
                <c:pt idx="18">
                  <c:v>0.86388279616240238</c:v>
                </c:pt>
                <c:pt idx="19">
                  <c:v>0.90057649284645747</c:v>
                </c:pt>
                <c:pt idx="20">
                  <c:v>0.93727018953051255</c:v>
                </c:pt>
                <c:pt idx="21">
                  <c:v>0.97396388621456764</c:v>
                </c:pt>
                <c:pt idx="22">
                  <c:v>1.0106575828986228</c:v>
                </c:pt>
                <c:pt idx="23">
                  <c:v>1.0473512795826778</c:v>
                </c:pt>
                <c:pt idx="24">
                  <c:v>1.0840449762667328</c:v>
                </c:pt>
                <c:pt idx="25">
                  <c:v>1.1207386729507878</c:v>
                </c:pt>
                <c:pt idx="26">
                  <c:v>1.1574323696348428</c:v>
                </c:pt>
                <c:pt idx="27">
                  <c:v>1.1941260663188982</c:v>
                </c:pt>
                <c:pt idx="28">
                  <c:v>1.1941260663188982</c:v>
                </c:pt>
                <c:pt idx="29">
                  <c:v>1.2308197630029534</c:v>
                </c:pt>
                <c:pt idx="30">
                  <c:v>1.2675134596870086</c:v>
                </c:pt>
                <c:pt idx="31">
                  <c:v>1.3042071563710638</c:v>
                </c:pt>
                <c:pt idx="32">
                  <c:v>1.340900853055119</c:v>
                </c:pt>
                <c:pt idx="33">
                  <c:v>1.3775945497391742</c:v>
                </c:pt>
                <c:pt idx="34">
                  <c:v>1.4142882464232294</c:v>
                </c:pt>
                <c:pt idx="35">
                  <c:v>1.4509819431072846</c:v>
                </c:pt>
                <c:pt idx="36">
                  <c:v>1.4876756397913398</c:v>
                </c:pt>
                <c:pt idx="37">
                  <c:v>1.524369336475395</c:v>
                </c:pt>
                <c:pt idx="38">
                  <c:v>1.5610630331594502</c:v>
                </c:pt>
                <c:pt idx="39">
                  <c:v>1.5977567298435054</c:v>
                </c:pt>
                <c:pt idx="40">
                  <c:v>1.6344504265275606</c:v>
                </c:pt>
                <c:pt idx="41">
                  <c:v>1.6711441232116158</c:v>
                </c:pt>
                <c:pt idx="42">
                  <c:v>1.707837819895671</c:v>
                </c:pt>
                <c:pt idx="43">
                  <c:v>1.7445315165797262</c:v>
                </c:pt>
                <c:pt idx="44">
                  <c:v>1.7812252132637814</c:v>
                </c:pt>
                <c:pt idx="45">
                  <c:v>1.8179189099478366</c:v>
                </c:pt>
                <c:pt idx="46">
                  <c:v>1.8546126066318918</c:v>
                </c:pt>
                <c:pt idx="47">
                  <c:v>1.891306303315947</c:v>
                </c:pt>
                <c:pt idx="48">
                  <c:v>1.9280000000000002</c:v>
                </c:pt>
                <c:pt idx="49">
                  <c:v>1.9816000000000003</c:v>
                </c:pt>
                <c:pt idx="50">
                  <c:v>2.0352000000000001</c:v>
                </c:pt>
                <c:pt idx="51">
                  <c:v>2.0888</c:v>
                </c:pt>
                <c:pt idx="52">
                  <c:v>2.1423999999999999</c:v>
                </c:pt>
                <c:pt idx="53">
                  <c:v>2.1959999999999997</c:v>
                </c:pt>
                <c:pt idx="54">
                  <c:v>2.2495999999999996</c:v>
                </c:pt>
                <c:pt idx="55">
                  <c:v>2.3031999999999995</c:v>
                </c:pt>
                <c:pt idx="56">
                  <c:v>2.3567999999999993</c:v>
                </c:pt>
                <c:pt idx="57">
                  <c:v>2.4103999999999992</c:v>
                </c:pt>
                <c:pt idx="58">
                  <c:v>2.4639999999999991</c:v>
                </c:pt>
                <c:pt idx="59">
                  <c:v>2.5175999999999989</c:v>
                </c:pt>
                <c:pt idx="60">
                  <c:v>2.5711999999999988</c:v>
                </c:pt>
                <c:pt idx="61">
                  <c:v>2.6247999999999987</c:v>
                </c:pt>
                <c:pt idx="62">
                  <c:v>2.6783999999999986</c:v>
                </c:pt>
                <c:pt idx="63">
                  <c:v>2.7319999999999984</c:v>
                </c:pt>
                <c:pt idx="64">
                  <c:v>2.7855999999999983</c:v>
                </c:pt>
                <c:pt idx="65">
                  <c:v>2.8391999999999982</c:v>
                </c:pt>
                <c:pt idx="66">
                  <c:v>2.892799999999998</c:v>
                </c:pt>
                <c:pt idx="67">
                  <c:v>2.9463999999999979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</c:numCache>
            </c:numRef>
          </c:xVal>
          <c:yVal>
            <c:numRef>
              <c:f>'Spettri x'!$AS$15:$AS$130</c:f>
              <c:numCache>
                <c:formatCode>0.0000</c:formatCode>
                <c:ptCount val="116"/>
                <c:pt idx="0">
                  <c:v>0.123</c:v>
                </c:pt>
                <c:pt idx="1">
                  <c:v>0.123</c:v>
                </c:pt>
                <c:pt idx="2">
                  <c:v>0.20393399999999998</c:v>
                </c:pt>
                <c:pt idx="3">
                  <c:v>0.28486799999999995</c:v>
                </c:pt>
                <c:pt idx="4">
                  <c:v>0.28486799999999995</c:v>
                </c:pt>
                <c:pt idx="5">
                  <c:v>0.28486799999999995</c:v>
                </c:pt>
                <c:pt idx="6">
                  <c:v>0.28486799999999995</c:v>
                </c:pt>
                <c:pt idx="7">
                  <c:v>0.28486799999999995</c:v>
                </c:pt>
                <c:pt idx="8">
                  <c:v>0.2638337959273796</c:v>
                </c:pt>
                <c:pt idx="9">
                  <c:v>0.24569226627866497</c:v>
                </c:pt>
                <c:pt idx="10">
                  <c:v>0.22988509051231781</c:v>
                </c:pt>
                <c:pt idx="11">
                  <c:v>0.21598894601819177</c:v>
                </c:pt>
                <c:pt idx="12">
                  <c:v>0.2036770320067485</c:v>
                </c:pt>
                <c:pt idx="13">
                  <c:v>0.1926930431428977</c:v>
                </c:pt>
                <c:pt idx="14">
                  <c:v>0.18283313363795323</c:v>
                </c:pt>
                <c:pt idx="15">
                  <c:v>0.17393314907288079</c:v>
                </c:pt>
                <c:pt idx="16">
                  <c:v>0.16585941430753942</c:v>
                </c:pt>
                <c:pt idx="17">
                  <c:v>0.15850197325248452</c:v>
                </c:pt>
                <c:pt idx="18">
                  <c:v>0.15176955149783539</c:v>
                </c:pt>
                <c:pt idx="19">
                  <c:v>0.14558575041844599</c:v>
                </c:pt>
                <c:pt idx="20">
                  <c:v>0.13988613527326474</c:v>
                </c:pt>
                <c:pt idx="21">
                  <c:v>0.13461598153278911</c:v>
                </c:pt>
                <c:pt idx="22">
                  <c:v>0.12972851214773429</c:v>
                </c:pt>
                <c:pt idx="23">
                  <c:v>0.12518350535887598</c:v>
                </c:pt>
                <c:pt idx="24">
                  <c:v>0.12094618525126899</c:v>
                </c:pt>
                <c:pt idx="25">
                  <c:v>0.11698633025222724</c:v>
                </c:pt>
                <c:pt idx="26">
                  <c:v>0.11327755120727086</c:v>
                </c:pt>
                <c:pt idx="27">
                  <c:v>0.10979670255791049</c:v>
                </c:pt>
                <c:pt idx="28">
                  <c:v>0.10979670255791049</c:v>
                </c:pt>
                <c:pt idx="29">
                  <c:v>0.10652339884466833</c:v>
                </c:pt>
                <c:pt idx="30">
                  <c:v>0.10343961519165207</c:v>
                </c:pt>
                <c:pt idx="31">
                  <c:v>0.1005293552330125</c:v>
                </c:pt>
                <c:pt idx="32">
                  <c:v>9.7778373562474208E-2</c:v>
                </c:pt>
                <c:pt idx="33">
                  <c:v>9.5173942539978532E-2</c:v>
                </c:pt>
                <c:pt idx="34">
                  <c:v>9.2704655399524841E-2</c:v>
                </c:pt>
                <c:pt idx="35">
                  <c:v>9.0360259232095411E-2</c:v>
                </c:pt>
                <c:pt idx="36">
                  <c:v>8.813151268555644E-2</c:v>
                </c:pt>
                <c:pt idx="37">
                  <c:v>8.6010064216730617E-2</c:v>
                </c:pt>
                <c:pt idx="38">
                  <c:v>8.3988347514005732E-2</c:v>
                </c:pt>
                <c:pt idx="39">
                  <c:v>8.2059491330138609E-2</c:v>
                </c:pt>
                <c:pt idx="40">
                  <c:v>8.0217241460674507E-2</c:v>
                </c:pt>
                <c:pt idx="41">
                  <c:v>7.8455893001193447E-2</c:v>
                </c:pt>
                <c:pt idx="42">
                  <c:v>7.6770231337465702E-2</c:v>
                </c:pt>
                <c:pt idx="43">
                  <c:v>7.5155480582727488E-2</c:v>
                </c:pt>
                <c:pt idx="44">
                  <c:v>7.360725838818874E-2</c:v>
                </c:pt>
                <c:pt idx="45">
                  <c:v>7.2121536226291777E-2</c:v>
                </c:pt>
                <c:pt idx="46">
                  <c:v>7.0694604388768192E-2</c:v>
                </c:pt>
                <c:pt idx="47">
                  <c:v>6.9323041059183396E-2</c:v>
                </c:pt>
                <c:pt idx="48">
                  <c:v>6.800368491714924E-2</c:v>
                </c:pt>
                <c:pt idx="49">
                  <c:v>6.4374596284573746E-2</c:v>
                </c:pt>
                <c:pt idx="50">
                  <c:v>6.1028446876992382E-2</c:v>
                </c:pt>
                <c:pt idx="51">
                  <c:v>5.7936571032417949E-2</c:v>
                </c:pt>
                <c:pt idx="52">
                  <c:v>5.5073843516710248E-2</c:v>
                </c:pt>
                <c:pt idx="53">
                  <c:v>5.241816747353787E-2</c:v>
                </c:pt>
                <c:pt idx="54">
                  <c:v>4.9950046737222351E-2</c:v>
                </c:pt>
                <c:pt idx="55">
                  <c:v>4.7652226989598742E-2</c:v>
                </c:pt>
                <c:pt idx="56">
                  <c:v>4.5509393381304164E-2</c:v>
                </c:pt>
                <c:pt idx="57">
                  <c:v>4.3507914687124109E-2</c:v>
                </c:pt>
                <c:pt idx="58">
                  <c:v>4.1635625987444642E-2</c:v>
                </c:pt>
                <c:pt idx="59">
                  <c:v>3.9881643385486533E-2</c:v>
                </c:pt>
                <c:pt idx="60">
                  <c:v>3.8236205474657475E-2</c:v>
                </c:pt>
                <c:pt idx="61">
                  <c:v>3.6690537231606778E-2</c:v>
                </c:pt>
                <c:pt idx="62">
                  <c:v>3.5236732781433286E-2</c:v>
                </c:pt>
                <c:pt idx="63">
                  <c:v>3.3867654102651509E-2</c:v>
                </c:pt>
                <c:pt idx="64">
                  <c:v>3.2576843242336236E-2</c:v>
                </c:pt>
                <c:pt idx="65">
                  <c:v>3.135844602067811E-2</c:v>
                </c:pt>
                <c:pt idx="66">
                  <c:v>3.0207145537967862E-2</c:v>
                </c:pt>
                <c:pt idx="67">
                  <c:v>2.9118104070657964E-2</c:v>
                </c:pt>
                <c:pt idx="68">
                  <c:v>2.8086912168340947E-2</c:v>
                </c:pt>
                <c:pt idx="69">
                  <c:v>2.8086912168340947E-2</c:v>
                </c:pt>
                <c:pt idx="70">
                  <c:v>2.8086912168340947E-2</c:v>
                </c:pt>
                <c:pt idx="71">
                  <c:v>2.8086912168340947E-2</c:v>
                </c:pt>
                <c:pt idx="72">
                  <c:v>2.8086912168340947E-2</c:v>
                </c:pt>
                <c:pt idx="73">
                  <c:v>2.8086912168340947E-2</c:v>
                </c:pt>
                <c:pt idx="74">
                  <c:v>2.8086912168340947E-2</c:v>
                </c:pt>
                <c:pt idx="75">
                  <c:v>2.8086912168340947E-2</c:v>
                </c:pt>
                <c:pt idx="76">
                  <c:v>2.8086912168340947E-2</c:v>
                </c:pt>
                <c:pt idx="77">
                  <c:v>2.8086912168340947E-2</c:v>
                </c:pt>
                <c:pt idx="78">
                  <c:v>2.8086912168340947E-2</c:v>
                </c:pt>
                <c:pt idx="79">
                  <c:v>2.8086912168340947E-2</c:v>
                </c:pt>
                <c:pt idx="80">
                  <c:v>2.8086912168340947E-2</c:v>
                </c:pt>
                <c:pt idx="81">
                  <c:v>2.8086912168340947E-2</c:v>
                </c:pt>
                <c:pt idx="82">
                  <c:v>2.8086912168340947E-2</c:v>
                </c:pt>
                <c:pt idx="83">
                  <c:v>2.8086912168340947E-2</c:v>
                </c:pt>
                <c:pt idx="84">
                  <c:v>2.8086912168340947E-2</c:v>
                </c:pt>
                <c:pt idx="85">
                  <c:v>2.8086912168340947E-2</c:v>
                </c:pt>
                <c:pt idx="86">
                  <c:v>2.8086912168340947E-2</c:v>
                </c:pt>
                <c:pt idx="87">
                  <c:v>2.8086912168340947E-2</c:v>
                </c:pt>
                <c:pt idx="88">
                  <c:v>2.8086912168340947E-2</c:v>
                </c:pt>
                <c:pt idx="89">
                  <c:v>2.8086912168340947E-2</c:v>
                </c:pt>
                <c:pt idx="90">
                  <c:v>2.6044928156102168E-2</c:v>
                </c:pt>
                <c:pt idx="91">
                  <c:v>2.4217796716579691E-2</c:v>
                </c:pt>
                <c:pt idx="92">
                  <c:v>2.2576400268488082E-2</c:v>
                </c:pt>
                <c:pt idx="93">
                  <c:v>2.1096391806442755E-2</c:v>
                </c:pt>
                <c:pt idx="94">
                  <c:v>1.9757286811444827E-2</c:v>
                </c:pt>
                <c:pt idx="95">
                  <c:v>1.8541750611131325E-2</c:v>
                </c:pt>
                <c:pt idx="96">
                  <c:v>1.7435034550779136E-2</c:v>
                </c:pt>
                <c:pt idx="97">
                  <c:v>1.6424526492905257E-2</c:v>
                </c:pt>
                <c:pt idx="98">
                  <c:v>1.5499389898611006E-2</c:v>
                </c:pt>
                <c:pt idx="99">
                  <c:v>1.4650272087807472E-2</c:v>
                </c:pt>
                <c:pt idx="100">
                  <c:v>1.3869066928998166E-2</c:v>
                </c:pt>
                <c:pt idx="101">
                  <c:v>1.3148720654985105E-2</c:v>
                </c:pt>
                <c:pt idx="102">
                  <c:v>1.2483072074818207E-2</c:v>
                </c:pt>
                <c:pt idx="103">
                  <c:v>1.1866720391124061E-2</c:v>
                </c:pt>
                <c:pt idx="104">
                  <c:v>1.1294915303865853E-2</c:v>
                </c:pt>
                <c:pt idx="105">
                  <c:v>1.0763465207368766E-2</c:v>
                </c:pt>
                <c:pt idx="106">
                  <c:v>1.026866015456923E-2</c:v>
                </c:pt>
                <c:pt idx="107">
                  <c:v>9.8072069348132795E-3</c:v>
                </c:pt>
                <c:pt idx="108">
                  <c:v>9.3761741361967962E-3</c:v>
                </c:pt>
                <c:pt idx="109">
                  <c:v>8.9729454753301099E-3</c:v>
                </c:pt>
                <c:pt idx="110">
                  <c:v>8.5951800026249497E-3</c:v>
                </c:pt>
                <c:pt idx="111">
                  <c:v>8.2407780493917171E-3</c:v>
                </c:pt>
                <c:pt idx="112">
                  <c:v>7.9078519890872639E-3</c:v>
                </c:pt>
                <c:pt idx="113">
                  <c:v>7.5947010503194089E-3</c:v>
                </c:pt>
                <c:pt idx="114">
                  <c:v>7.299789552402354E-3</c:v>
                </c:pt>
                <c:pt idx="115">
                  <c:v>7.0217280420852369E-3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6B6-486F-B619-F0012056FDC8}"/>
            </c:ext>
          </c:extLst>
        </c:ser>
        <c:ser>
          <c:idx val="3"/>
          <c:order val="4"/>
          <c:tx>
            <c:v>Sd,SLD</c:v>
          </c:tx>
          <c:spPr>
            <a:ln w="9525">
              <a:solidFill>
                <a:schemeClr val="tx1">
                  <a:lumMod val="50000"/>
                  <a:lumOff val="50000"/>
                </a:schemeClr>
              </a:solidFill>
              <a:prstDash val="lgDash"/>
            </a:ln>
          </c:spPr>
          <c:marker>
            <c:symbol val="none"/>
          </c:marker>
          <c:xVal>
            <c:numRef>
              <c:f>'Spettri x'!$BC$15:$BC$130</c:f>
              <c:numCache>
                <c:formatCode>0.000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7.6708688772966063E-2</c:v>
                </c:pt>
                <c:pt idx="3">
                  <c:v>0.15341737754593213</c:v>
                </c:pt>
                <c:pt idx="4">
                  <c:v>0.23012606631889818</c:v>
                </c:pt>
                <c:pt idx="5">
                  <c:v>0.3068347550918642</c:v>
                </c:pt>
                <c:pt idx="6">
                  <c:v>0.38354344386483025</c:v>
                </c:pt>
                <c:pt idx="7">
                  <c:v>0.46025213263779635</c:v>
                </c:pt>
                <c:pt idx="8">
                  <c:v>0.49694582932185144</c:v>
                </c:pt>
                <c:pt idx="9">
                  <c:v>0.53363952600590658</c:v>
                </c:pt>
                <c:pt idx="10">
                  <c:v>0.57033322268996167</c:v>
                </c:pt>
                <c:pt idx="11">
                  <c:v>0.60702691937401676</c:v>
                </c:pt>
                <c:pt idx="12">
                  <c:v>0.64372061605807185</c:v>
                </c:pt>
                <c:pt idx="13">
                  <c:v>0.68041431274212694</c:v>
                </c:pt>
                <c:pt idx="14">
                  <c:v>0.71710800942618202</c:v>
                </c:pt>
                <c:pt idx="15">
                  <c:v>0.75380170611023711</c:v>
                </c:pt>
                <c:pt idx="16">
                  <c:v>0.7904954027942922</c:v>
                </c:pt>
                <c:pt idx="17">
                  <c:v>0.82718909947834729</c:v>
                </c:pt>
                <c:pt idx="18">
                  <c:v>0.86388279616240238</c:v>
                </c:pt>
                <c:pt idx="19">
                  <c:v>0.90057649284645747</c:v>
                </c:pt>
                <c:pt idx="20">
                  <c:v>0.93727018953051255</c:v>
                </c:pt>
                <c:pt idx="21">
                  <c:v>0.97396388621456764</c:v>
                </c:pt>
                <c:pt idx="22">
                  <c:v>1.0106575828986228</c:v>
                </c:pt>
                <c:pt idx="23">
                  <c:v>1.0473512795826778</c:v>
                </c:pt>
                <c:pt idx="24">
                  <c:v>1.0840449762667328</c:v>
                </c:pt>
                <c:pt idx="25">
                  <c:v>1.1207386729507878</c:v>
                </c:pt>
                <c:pt idx="26">
                  <c:v>1.1574323696348428</c:v>
                </c:pt>
                <c:pt idx="27">
                  <c:v>1.1941260663188982</c:v>
                </c:pt>
                <c:pt idx="28">
                  <c:v>1.1941260663188982</c:v>
                </c:pt>
                <c:pt idx="29">
                  <c:v>1.2308197630029534</c:v>
                </c:pt>
                <c:pt idx="30">
                  <c:v>1.2675134596870086</c:v>
                </c:pt>
                <c:pt idx="31">
                  <c:v>1.3042071563710638</c:v>
                </c:pt>
                <c:pt idx="32">
                  <c:v>1.340900853055119</c:v>
                </c:pt>
                <c:pt idx="33">
                  <c:v>1.3775945497391742</c:v>
                </c:pt>
                <c:pt idx="34">
                  <c:v>1.4142882464232294</c:v>
                </c:pt>
                <c:pt idx="35">
                  <c:v>1.4509819431072846</c:v>
                </c:pt>
                <c:pt idx="36">
                  <c:v>1.4876756397913398</c:v>
                </c:pt>
                <c:pt idx="37">
                  <c:v>1.524369336475395</c:v>
                </c:pt>
                <c:pt idx="38">
                  <c:v>1.5610630331594502</c:v>
                </c:pt>
                <c:pt idx="39">
                  <c:v>1.5977567298435054</c:v>
                </c:pt>
                <c:pt idx="40">
                  <c:v>1.6344504265275606</c:v>
                </c:pt>
                <c:pt idx="41">
                  <c:v>1.6711441232116158</c:v>
                </c:pt>
                <c:pt idx="42">
                  <c:v>1.707837819895671</c:v>
                </c:pt>
                <c:pt idx="43">
                  <c:v>1.7445315165797262</c:v>
                </c:pt>
                <c:pt idx="44">
                  <c:v>1.7812252132637814</c:v>
                </c:pt>
                <c:pt idx="45">
                  <c:v>1.8179189099478366</c:v>
                </c:pt>
                <c:pt idx="46">
                  <c:v>1.8546126066318918</c:v>
                </c:pt>
                <c:pt idx="47">
                  <c:v>1.891306303315947</c:v>
                </c:pt>
                <c:pt idx="48">
                  <c:v>1.9280000000000002</c:v>
                </c:pt>
                <c:pt idx="49">
                  <c:v>1.9816000000000003</c:v>
                </c:pt>
                <c:pt idx="50">
                  <c:v>2.0352000000000001</c:v>
                </c:pt>
                <c:pt idx="51">
                  <c:v>2.0888</c:v>
                </c:pt>
                <c:pt idx="52">
                  <c:v>2.1423999999999999</c:v>
                </c:pt>
                <c:pt idx="53">
                  <c:v>2.1959999999999997</c:v>
                </c:pt>
                <c:pt idx="54">
                  <c:v>2.2495999999999996</c:v>
                </c:pt>
                <c:pt idx="55">
                  <c:v>2.3031999999999995</c:v>
                </c:pt>
                <c:pt idx="56">
                  <c:v>2.3567999999999993</c:v>
                </c:pt>
                <c:pt idx="57">
                  <c:v>2.4103999999999992</c:v>
                </c:pt>
                <c:pt idx="58">
                  <c:v>2.4639999999999991</c:v>
                </c:pt>
                <c:pt idx="59">
                  <c:v>2.5175999999999989</c:v>
                </c:pt>
                <c:pt idx="60">
                  <c:v>2.5711999999999988</c:v>
                </c:pt>
                <c:pt idx="61">
                  <c:v>2.6247999999999987</c:v>
                </c:pt>
                <c:pt idx="62">
                  <c:v>2.6783999999999986</c:v>
                </c:pt>
                <c:pt idx="63">
                  <c:v>2.7319999999999984</c:v>
                </c:pt>
                <c:pt idx="64">
                  <c:v>2.7855999999999983</c:v>
                </c:pt>
                <c:pt idx="65">
                  <c:v>2.8391999999999982</c:v>
                </c:pt>
                <c:pt idx="66">
                  <c:v>2.892799999999998</c:v>
                </c:pt>
                <c:pt idx="67">
                  <c:v>2.9463999999999979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</c:numCache>
            </c:numRef>
          </c:xVal>
          <c:yVal>
            <c:numRef>
              <c:f>'Spettri x'!$BD$15:$BD$130</c:f>
              <c:numCache>
                <c:formatCode>0.000</c:formatCode>
                <c:ptCount val="116"/>
                <c:pt idx="0">
                  <c:v>0.123</c:v>
                </c:pt>
                <c:pt idx="1">
                  <c:v>0.123</c:v>
                </c:pt>
                <c:pt idx="2">
                  <c:v>0.15645599999999998</c:v>
                </c:pt>
                <c:pt idx="3">
                  <c:v>0.18991199999999997</c:v>
                </c:pt>
                <c:pt idx="4">
                  <c:v>0.18991199999999997</c:v>
                </c:pt>
                <c:pt idx="5">
                  <c:v>0.18991199999999997</c:v>
                </c:pt>
                <c:pt idx="6">
                  <c:v>0.18991199999999997</c:v>
                </c:pt>
                <c:pt idx="7">
                  <c:v>0.18991199999999997</c:v>
                </c:pt>
                <c:pt idx="8">
                  <c:v>0.17588919728491972</c:v>
                </c:pt>
                <c:pt idx="9">
                  <c:v>0.16379484418577664</c:v>
                </c:pt>
                <c:pt idx="10">
                  <c:v>0.15325672700821188</c:v>
                </c:pt>
                <c:pt idx="11">
                  <c:v>0.1439926306787945</c:v>
                </c:pt>
                <c:pt idx="12">
                  <c:v>0.135784688004499</c:v>
                </c:pt>
                <c:pt idx="13">
                  <c:v>0.1284620287619318</c:v>
                </c:pt>
                <c:pt idx="14">
                  <c:v>0.12188875575863549</c:v>
                </c:pt>
                <c:pt idx="15">
                  <c:v>0.11595543271525387</c:v>
                </c:pt>
                <c:pt idx="16">
                  <c:v>0.11057294287169295</c:v>
                </c:pt>
                <c:pt idx="17">
                  <c:v>0.10566798216832302</c:v>
                </c:pt>
                <c:pt idx="18">
                  <c:v>0.10117970099855693</c:v>
                </c:pt>
                <c:pt idx="19">
                  <c:v>9.7057166945630657E-2</c:v>
                </c:pt>
                <c:pt idx="20">
                  <c:v>9.3257423515509821E-2</c:v>
                </c:pt>
                <c:pt idx="21">
                  <c:v>8.9743987688526081E-2</c:v>
                </c:pt>
                <c:pt idx="22">
                  <c:v>8.6485674765156187E-2</c:v>
                </c:pt>
                <c:pt idx="23">
                  <c:v>8.3455670239250657E-2</c:v>
                </c:pt>
                <c:pt idx="24">
                  <c:v>8.0630790167512664E-2</c:v>
                </c:pt>
                <c:pt idx="25">
                  <c:v>7.7990886834818154E-2</c:v>
                </c:pt>
                <c:pt idx="26">
                  <c:v>7.55183674715139E-2</c:v>
                </c:pt>
                <c:pt idx="27">
                  <c:v>7.3197801705273666E-2</c:v>
                </c:pt>
                <c:pt idx="28">
                  <c:v>7.3197801705273666E-2</c:v>
                </c:pt>
                <c:pt idx="29">
                  <c:v>7.1015599229778889E-2</c:v>
                </c:pt>
                <c:pt idx="30">
                  <c:v>6.8959743461101383E-2</c:v>
                </c:pt>
                <c:pt idx="31">
                  <c:v>6.7019570155341671E-2</c:v>
                </c:pt>
                <c:pt idx="32">
                  <c:v>6.5185582374982801E-2</c:v>
                </c:pt>
                <c:pt idx="33">
                  <c:v>6.344929502665235E-2</c:v>
                </c:pt>
                <c:pt idx="34">
                  <c:v>6.1803103599683225E-2</c:v>
                </c:pt>
                <c:pt idx="35">
                  <c:v>6.0240172821396938E-2</c:v>
                </c:pt>
                <c:pt idx="36">
                  <c:v>5.8754341790370958E-2</c:v>
                </c:pt>
                <c:pt idx="37">
                  <c:v>5.7340042811153742E-2</c:v>
                </c:pt>
                <c:pt idx="38">
                  <c:v>5.5992231676003819E-2</c:v>
                </c:pt>
                <c:pt idx="39">
                  <c:v>5.4706327553425742E-2</c:v>
                </c:pt>
                <c:pt idx="40">
                  <c:v>5.3478160973783002E-2</c:v>
                </c:pt>
                <c:pt idx="41">
                  <c:v>5.23039286674623E-2</c:v>
                </c:pt>
                <c:pt idx="42">
                  <c:v>5.1180154224977133E-2</c:v>
                </c:pt>
                <c:pt idx="43">
                  <c:v>5.0103653721818325E-2</c:v>
                </c:pt>
                <c:pt idx="44">
                  <c:v>4.9071505592125829E-2</c:v>
                </c:pt>
                <c:pt idx="45">
                  <c:v>4.8081024150861185E-2</c:v>
                </c:pt>
                <c:pt idx="46">
                  <c:v>4.7129736259178795E-2</c:v>
                </c:pt>
                <c:pt idx="47">
                  <c:v>4.6215360706122262E-2</c:v>
                </c:pt>
                <c:pt idx="48">
                  <c:v>4.5335789944766162E-2</c:v>
                </c:pt>
                <c:pt idx="49">
                  <c:v>4.2916397523049161E-2</c:v>
                </c:pt>
                <c:pt idx="50">
                  <c:v>4.0685631251328257E-2</c:v>
                </c:pt>
                <c:pt idx="51">
                  <c:v>3.8624380688278635E-2</c:v>
                </c:pt>
                <c:pt idx="52">
                  <c:v>3.671589567780683E-2</c:v>
                </c:pt>
                <c:pt idx="53">
                  <c:v>3.4945444982358582E-2</c:v>
                </c:pt>
                <c:pt idx="54">
                  <c:v>3.3300031158148231E-2</c:v>
                </c:pt>
                <c:pt idx="55">
                  <c:v>3.1768151326399159E-2</c:v>
                </c:pt>
                <c:pt idx="56">
                  <c:v>3.033959558753611E-2</c:v>
                </c:pt>
                <c:pt idx="57">
                  <c:v>2.9005276458082738E-2</c:v>
                </c:pt>
                <c:pt idx="58">
                  <c:v>2.7757083991629763E-2</c:v>
                </c:pt>
                <c:pt idx="59">
                  <c:v>2.6587762256991023E-2</c:v>
                </c:pt>
                <c:pt idx="60">
                  <c:v>2.5490803649771649E-2</c:v>
                </c:pt>
                <c:pt idx="61">
                  <c:v>2.4460358154404518E-2</c:v>
                </c:pt>
                <c:pt idx="62">
                  <c:v>2.3491155187622192E-2</c:v>
                </c:pt>
                <c:pt idx="63">
                  <c:v>2.2578436068434338E-2</c:v>
                </c:pt>
                <c:pt idx="64">
                  <c:v>2.1717895494890824E-2</c:v>
                </c:pt>
                <c:pt idx="65">
                  <c:v>2.0905630680452075E-2</c:v>
                </c:pt>
                <c:pt idx="66">
                  <c:v>2.0138097025311909E-2</c:v>
                </c:pt>
                <c:pt idx="67">
                  <c:v>1.9412069380438643E-2</c:v>
                </c:pt>
                <c:pt idx="68">
                  <c:v>1.8724608112227297E-2</c:v>
                </c:pt>
                <c:pt idx="69">
                  <c:v>1.8724608112227297E-2</c:v>
                </c:pt>
                <c:pt idx="70">
                  <c:v>1.8724608112227297E-2</c:v>
                </c:pt>
                <c:pt idx="71">
                  <c:v>1.8724608112227297E-2</c:v>
                </c:pt>
                <c:pt idx="72">
                  <c:v>1.8724608112227297E-2</c:v>
                </c:pt>
                <c:pt idx="73">
                  <c:v>1.8724608112227297E-2</c:v>
                </c:pt>
                <c:pt idx="74">
                  <c:v>1.8724608112227297E-2</c:v>
                </c:pt>
                <c:pt idx="75">
                  <c:v>1.8724608112227297E-2</c:v>
                </c:pt>
                <c:pt idx="76">
                  <c:v>1.8724608112227297E-2</c:v>
                </c:pt>
                <c:pt idx="77">
                  <c:v>1.8724608112227297E-2</c:v>
                </c:pt>
                <c:pt idx="78">
                  <c:v>1.8724608112227297E-2</c:v>
                </c:pt>
                <c:pt idx="79">
                  <c:v>1.8724608112227297E-2</c:v>
                </c:pt>
                <c:pt idx="80">
                  <c:v>1.8724608112227297E-2</c:v>
                </c:pt>
                <c:pt idx="81">
                  <c:v>1.8724608112227297E-2</c:v>
                </c:pt>
                <c:pt idx="82">
                  <c:v>1.8724608112227297E-2</c:v>
                </c:pt>
                <c:pt idx="83">
                  <c:v>1.8724608112227297E-2</c:v>
                </c:pt>
                <c:pt idx="84">
                  <c:v>1.8724608112227297E-2</c:v>
                </c:pt>
                <c:pt idx="85">
                  <c:v>1.8724608112227297E-2</c:v>
                </c:pt>
                <c:pt idx="86">
                  <c:v>1.8724608112227297E-2</c:v>
                </c:pt>
                <c:pt idx="87">
                  <c:v>1.8724608112227297E-2</c:v>
                </c:pt>
                <c:pt idx="88">
                  <c:v>1.8724608112227297E-2</c:v>
                </c:pt>
                <c:pt idx="89">
                  <c:v>1.8724608112227297E-2</c:v>
                </c:pt>
                <c:pt idx="90">
                  <c:v>1.7363285437401444E-2</c:v>
                </c:pt>
                <c:pt idx="91">
                  <c:v>1.6145197811053127E-2</c:v>
                </c:pt>
                <c:pt idx="92">
                  <c:v>1.5050933512325388E-2</c:v>
                </c:pt>
                <c:pt idx="93">
                  <c:v>1.4064261204295171E-2</c:v>
                </c:pt>
                <c:pt idx="94">
                  <c:v>1.3171524540963217E-2</c:v>
                </c:pt>
                <c:pt idx="95">
                  <c:v>1.236116707408755E-2</c:v>
                </c:pt>
                <c:pt idx="96">
                  <c:v>1.162335636718609E-2</c:v>
                </c:pt>
                <c:pt idx="97">
                  <c:v>1.0949684328603505E-2</c:v>
                </c:pt>
                <c:pt idx="98">
                  <c:v>1.0332926599074003E-2</c:v>
                </c:pt>
                <c:pt idx="99">
                  <c:v>9.7668480585383147E-3</c:v>
                </c:pt>
                <c:pt idx="100">
                  <c:v>9.24604461933211E-3</c:v>
                </c:pt>
                <c:pt idx="101">
                  <c:v>8.7658137699900707E-3</c:v>
                </c:pt>
                <c:pt idx="102">
                  <c:v>8.3220480498788045E-3</c:v>
                </c:pt>
                <c:pt idx="103">
                  <c:v>7.9111469274160406E-3</c:v>
                </c:pt>
                <c:pt idx="104">
                  <c:v>7.5299435359105693E-3</c:v>
                </c:pt>
                <c:pt idx="105">
                  <c:v>7.1756434715791774E-3</c:v>
                </c:pt>
                <c:pt idx="106">
                  <c:v>6.8457734363794867E-3</c:v>
                </c:pt>
                <c:pt idx="107">
                  <c:v>6.538137956542186E-3</c:v>
                </c:pt>
                <c:pt idx="108">
                  <c:v>6.2507827574645311E-3</c:v>
                </c:pt>
                <c:pt idx="109">
                  <c:v>5.981963650220073E-3</c:v>
                </c:pt>
                <c:pt idx="110">
                  <c:v>5.7301200017499665E-3</c:v>
                </c:pt>
                <c:pt idx="111">
                  <c:v>5.4938520329278111E-3</c:v>
                </c:pt>
                <c:pt idx="112">
                  <c:v>5.271901326058176E-3</c:v>
                </c:pt>
                <c:pt idx="113">
                  <c:v>5.0631340335462729E-3</c:v>
                </c:pt>
                <c:pt idx="114">
                  <c:v>4.8665263682682357E-3</c:v>
                </c:pt>
                <c:pt idx="115" formatCode="0.0000">
                  <c:v>4.6811520280568243E-3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6B6-486F-B619-F0012056F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313216"/>
        <c:axId val="153818240"/>
      </c:scatterChart>
      <c:valAx>
        <c:axId val="152313216"/>
        <c:scaling>
          <c:orientation val="minMax"/>
          <c:max val="3"/>
          <c:min val="0"/>
        </c:scaling>
        <c:delete val="0"/>
        <c:axPos val="b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53818240"/>
        <c:crosses val="autoZero"/>
        <c:crossBetween val="midCat"/>
      </c:valAx>
      <c:valAx>
        <c:axId val="153818240"/>
        <c:scaling>
          <c:orientation val="minMax"/>
          <c:max val="1.2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5231321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3299245627225906"/>
          <c:y val="0.16373193350831147"/>
          <c:w val="0.19038639983289682"/>
          <c:h val="0.37029396325459318"/>
        </c:manualLayout>
      </c:layout>
      <c:overlay val="1"/>
      <c:spPr>
        <a:solidFill>
          <a:schemeClr val="bg1"/>
        </a:solidFill>
      </c:spPr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'Spettri x'!$AA$11</c:f>
          <c:strCache>
            <c:ptCount val="1"/>
            <c:pt idx="0">
              <c:v>Piazza Cairoli, Messina - spettri elastici, spo [mm]</c:v>
            </c:pt>
          </c:strCache>
        </c:strRef>
      </c:tx>
      <c:layout>
        <c:manualLayout>
          <c:xMode val="edge"/>
          <c:yMode val="edge"/>
          <c:x val="0.12171119235095613"/>
          <c:y val="1.7777777777777781E-2"/>
        </c:manualLayout>
      </c:layout>
      <c:overlay val="0"/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5"/>
          <c:order val="0"/>
          <c:tx>
            <c:v/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'Spettri x'!$AA$15:$AA$18</c:f>
              <c:numCache>
                <c:formatCode>General</c:formatCode>
                <c:ptCount val="4"/>
                <c:pt idx="0">
                  <c:v>0.61099999999999999</c:v>
                </c:pt>
                <c:pt idx="1">
                  <c:v>0.61099999999999999</c:v>
                </c:pt>
                <c:pt idx="2">
                  <c:v>0.61099999999999999</c:v>
                </c:pt>
                <c:pt idx="3">
                  <c:v>0.61099999999999999</c:v>
                </c:pt>
              </c:numCache>
            </c:numRef>
          </c:xVal>
          <c:yVal>
            <c:numRef>
              <c:f>'Spettri x'!$AC$15:$AC$18</c:f>
              <c:numCache>
                <c:formatCode>0.0</c:formatCode>
                <c:ptCount val="4"/>
                <c:pt idx="0">
                  <c:v>14.671305416491508</c:v>
                </c:pt>
                <c:pt idx="1">
                  <c:v>19.906273052046391</c:v>
                </c:pt>
                <c:pt idx="2">
                  <c:v>64.839235005765488</c:v>
                </c:pt>
                <c:pt idx="3">
                  <c:v>83.543782981664961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96-4B08-A21E-5BEC2796AB47}"/>
            </c:ext>
          </c:extLst>
        </c:ser>
        <c:ser>
          <c:idx val="0"/>
          <c:order val="1"/>
          <c:tx>
            <c:v>SLC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'Spettri x'!$AY$15:$AY$130</c:f>
              <c:numCache>
                <c:formatCode>0.000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9.199860185971169E-2</c:v>
                </c:pt>
                <c:pt idx="3">
                  <c:v>0.18399720371942338</c:v>
                </c:pt>
                <c:pt idx="4">
                  <c:v>0.27599580557913506</c:v>
                </c:pt>
                <c:pt idx="5">
                  <c:v>0.3679944074388467</c:v>
                </c:pt>
                <c:pt idx="6">
                  <c:v>0.45999300929855835</c:v>
                </c:pt>
                <c:pt idx="7">
                  <c:v>0.55199161115827011</c:v>
                </c:pt>
                <c:pt idx="8">
                  <c:v>0.61209182087931335</c:v>
                </c:pt>
                <c:pt idx="9">
                  <c:v>0.67219203060035659</c:v>
                </c:pt>
                <c:pt idx="10">
                  <c:v>0.73229224032139983</c:v>
                </c:pt>
                <c:pt idx="11">
                  <c:v>0.79239245004244308</c:v>
                </c:pt>
                <c:pt idx="12">
                  <c:v>0.85249265976348632</c:v>
                </c:pt>
                <c:pt idx="13">
                  <c:v>0.91259286948452956</c:v>
                </c:pt>
                <c:pt idx="14">
                  <c:v>0.9726930792055728</c:v>
                </c:pt>
                <c:pt idx="15">
                  <c:v>1.032793288926616</c:v>
                </c:pt>
                <c:pt idx="16">
                  <c:v>1.0928934986476593</c:v>
                </c:pt>
                <c:pt idx="17">
                  <c:v>1.1529937083687025</c:v>
                </c:pt>
                <c:pt idx="18">
                  <c:v>1.2130939180897458</c:v>
                </c:pt>
                <c:pt idx="19">
                  <c:v>1.273194127810789</c:v>
                </c:pt>
                <c:pt idx="20">
                  <c:v>1.3332943375318322</c:v>
                </c:pt>
                <c:pt idx="21">
                  <c:v>1.3933945472528755</c:v>
                </c:pt>
                <c:pt idx="22">
                  <c:v>1.4534947569739187</c:v>
                </c:pt>
                <c:pt idx="23">
                  <c:v>1.513594966694962</c:v>
                </c:pt>
                <c:pt idx="24">
                  <c:v>1.5736951764160052</c:v>
                </c:pt>
                <c:pt idx="25">
                  <c:v>1.6337953861370484</c:v>
                </c:pt>
                <c:pt idx="26">
                  <c:v>1.6938955958580917</c:v>
                </c:pt>
                <c:pt idx="27">
                  <c:v>1.7539958055791351</c:v>
                </c:pt>
                <c:pt idx="28">
                  <c:v>1.7539958055791351</c:v>
                </c:pt>
                <c:pt idx="29">
                  <c:v>1.8140960153001784</c:v>
                </c:pt>
                <c:pt idx="30">
                  <c:v>1.8741962250212216</c:v>
                </c:pt>
                <c:pt idx="31">
                  <c:v>1.9342964347422649</c:v>
                </c:pt>
                <c:pt idx="32">
                  <c:v>1.9943966444633081</c:v>
                </c:pt>
                <c:pt idx="33">
                  <c:v>2.0544968541843516</c:v>
                </c:pt>
                <c:pt idx="34">
                  <c:v>2.114597063905395</c:v>
                </c:pt>
                <c:pt idx="35">
                  <c:v>2.1746972736264385</c:v>
                </c:pt>
                <c:pt idx="36">
                  <c:v>2.234797483347482</c:v>
                </c:pt>
                <c:pt idx="37">
                  <c:v>2.2948976930685254</c:v>
                </c:pt>
                <c:pt idx="38">
                  <c:v>2.3549979027895689</c:v>
                </c:pt>
                <c:pt idx="39">
                  <c:v>2.4150981125106123</c:v>
                </c:pt>
                <c:pt idx="40">
                  <c:v>2.4751983222316558</c:v>
                </c:pt>
                <c:pt idx="41">
                  <c:v>2.5352985319526993</c:v>
                </c:pt>
                <c:pt idx="42">
                  <c:v>2.5953987416737427</c:v>
                </c:pt>
                <c:pt idx="43">
                  <c:v>2.6554989513947862</c:v>
                </c:pt>
                <c:pt idx="44">
                  <c:v>2.7155991611158297</c:v>
                </c:pt>
                <c:pt idx="45">
                  <c:v>2.7756993708368731</c:v>
                </c:pt>
                <c:pt idx="46">
                  <c:v>2.8357995805579166</c:v>
                </c:pt>
                <c:pt idx="47">
                  <c:v>2.8958997902789601</c:v>
                </c:pt>
                <c:pt idx="48">
                  <c:v>2.9560000000000004</c:v>
                </c:pt>
                <c:pt idx="49">
                  <c:v>2.9582000000000006</c:v>
                </c:pt>
                <c:pt idx="50">
                  <c:v>2.9604000000000008</c:v>
                </c:pt>
                <c:pt idx="51">
                  <c:v>2.962600000000001</c:v>
                </c:pt>
                <c:pt idx="52">
                  <c:v>2.9648000000000012</c:v>
                </c:pt>
                <c:pt idx="53">
                  <c:v>2.9670000000000014</c:v>
                </c:pt>
                <c:pt idx="54">
                  <c:v>2.9692000000000016</c:v>
                </c:pt>
                <c:pt idx="55">
                  <c:v>2.9714000000000018</c:v>
                </c:pt>
                <c:pt idx="56">
                  <c:v>2.973600000000002</c:v>
                </c:pt>
                <c:pt idx="57">
                  <c:v>2.9758000000000022</c:v>
                </c:pt>
                <c:pt idx="58">
                  <c:v>2.9780000000000024</c:v>
                </c:pt>
                <c:pt idx="59">
                  <c:v>2.9802000000000026</c:v>
                </c:pt>
                <c:pt idx="60">
                  <c:v>2.9824000000000028</c:v>
                </c:pt>
                <c:pt idx="61">
                  <c:v>2.984600000000003</c:v>
                </c:pt>
                <c:pt idx="62">
                  <c:v>2.9868000000000032</c:v>
                </c:pt>
                <c:pt idx="63">
                  <c:v>2.9890000000000034</c:v>
                </c:pt>
                <c:pt idx="64">
                  <c:v>2.9912000000000036</c:v>
                </c:pt>
                <c:pt idx="65">
                  <c:v>2.9934000000000038</c:v>
                </c:pt>
                <c:pt idx="66">
                  <c:v>2.995600000000004</c:v>
                </c:pt>
                <c:pt idx="67">
                  <c:v>2.9978000000000042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</c:numCache>
            </c:numRef>
          </c:xVal>
          <c:yVal>
            <c:numRef>
              <c:f>'Spettri x'!$BB$15:$BB$130</c:f>
              <c:numCache>
                <c:formatCode>0.00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1.4770094385138677</c:v>
                </c:pt>
                <c:pt idx="3">
                  <c:v>8.3861551864531947</c:v>
                </c:pt>
                <c:pt idx="4">
                  <c:v>18.868849169519684</c:v>
                </c:pt>
                <c:pt idx="5">
                  <c:v>33.544620745812757</c:v>
                </c:pt>
                <c:pt idx="6">
                  <c:v>52.413469915332435</c:v>
                </c:pt>
                <c:pt idx="7">
                  <c:v>75.475396678078738</c:v>
                </c:pt>
                <c:pt idx="8">
                  <c:v>83.693070782968064</c:v>
                </c:pt>
                <c:pt idx="9">
                  <c:v>91.910744887857405</c:v>
                </c:pt>
                <c:pt idx="10">
                  <c:v>100.12841899274673</c:v>
                </c:pt>
                <c:pt idx="11">
                  <c:v>108.34609309763609</c:v>
                </c:pt>
                <c:pt idx="12">
                  <c:v>116.56376720252544</c:v>
                </c:pt>
                <c:pt idx="13">
                  <c:v>124.78144130741475</c:v>
                </c:pt>
                <c:pt idx="14">
                  <c:v>132.99911541230409</c:v>
                </c:pt>
                <c:pt idx="15">
                  <c:v>141.21678951719343</c:v>
                </c:pt>
                <c:pt idx="16">
                  <c:v>149.43446362208277</c:v>
                </c:pt>
                <c:pt idx="17">
                  <c:v>157.65213772697211</c:v>
                </c:pt>
                <c:pt idx="18">
                  <c:v>165.86981183186148</c:v>
                </c:pt>
                <c:pt idx="19">
                  <c:v>174.0874859367508</c:v>
                </c:pt>
                <c:pt idx="20">
                  <c:v>182.30516004164011</c:v>
                </c:pt>
                <c:pt idx="21">
                  <c:v>190.52283414652945</c:v>
                </c:pt>
                <c:pt idx="22">
                  <c:v>198.74050825141885</c:v>
                </c:pt>
                <c:pt idx="23">
                  <c:v>206.95818235630816</c:v>
                </c:pt>
                <c:pt idx="24">
                  <c:v>215.17585646119753</c:v>
                </c:pt>
                <c:pt idx="25">
                  <c:v>223.39353056608684</c:v>
                </c:pt>
                <c:pt idx="26">
                  <c:v>231.61120467097621</c:v>
                </c:pt>
                <c:pt idx="27">
                  <c:v>239.82887877586555</c:v>
                </c:pt>
                <c:pt idx="28">
                  <c:v>239.82887877586555</c:v>
                </c:pt>
                <c:pt idx="29">
                  <c:v>248.04655288075486</c:v>
                </c:pt>
                <c:pt idx="30">
                  <c:v>256.2642269856442</c:v>
                </c:pt>
                <c:pt idx="31">
                  <c:v>264.4819010905336</c:v>
                </c:pt>
                <c:pt idx="32">
                  <c:v>272.69957519542288</c:v>
                </c:pt>
                <c:pt idx="33">
                  <c:v>280.91724930031228</c:v>
                </c:pt>
                <c:pt idx="34">
                  <c:v>289.13492340520162</c:v>
                </c:pt>
                <c:pt idx="35">
                  <c:v>297.35259751009102</c:v>
                </c:pt>
                <c:pt idx="36">
                  <c:v>305.57027161498036</c:v>
                </c:pt>
                <c:pt idx="37">
                  <c:v>313.7879457198697</c:v>
                </c:pt>
                <c:pt idx="38">
                  <c:v>322.00561982475909</c:v>
                </c:pt>
                <c:pt idx="39">
                  <c:v>330.22329392964843</c:v>
                </c:pt>
                <c:pt idx="40">
                  <c:v>338.44096803453783</c:v>
                </c:pt>
                <c:pt idx="41">
                  <c:v>346.65864213942717</c:v>
                </c:pt>
                <c:pt idx="42">
                  <c:v>354.87631624431663</c:v>
                </c:pt>
                <c:pt idx="43">
                  <c:v>363.09399034920591</c:v>
                </c:pt>
                <c:pt idx="44">
                  <c:v>371.31166445409531</c:v>
                </c:pt>
                <c:pt idx="45">
                  <c:v>379.5293385589847</c:v>
                </c:pt>
                <c:pt idx="46">
                  <c:v>387.74701266387405</c:v>
                </c:pt>
                <c:pt idx="47">
                  <c:v>395.9646867687635</c:v>
                </c:pt>
                <c:pt idx="48">
                  <c:v>404.18236087365239</c:v>
                </c:pt>
                <c:pt idx="49">
                  <c:v>404.18236087365239</c:v>
                </c:pt>
                <c:pt idx="50">
                  <c:v>404.18236087365239</c:v>
                </c:pt>
                <c:pt idx="51">
                  <c:v>404.18236087365239</c:v>
                </c:pt>
                <c:pt idx="52">
                  <c:v>404.18236087365244</c:v>
                </c:pt>
                <c:pt idx="53">
                  <c:v>404.18236087365239</c:v>
                </c:pt>
                <c:pt idx="54">
                  <c:v>404.18236087365239</c:v>
                </c:pt>
                <c:pt idx="55">
                  <c:v>404.18236087365239</c:v>
                </c:pt>
                <c:pt idx="56">
                  <c:v>404.18236087365239</c:v>
                </c:pt>
                <c:pt idx="57">
                  <c:v>404.18236087365239</c:v>
                </c:pt>
                <c:pt idx="58">
                  <c:v>404.18236087365233</c:v>
                </c:pt>
                <c:pt idx="59">
                  <c:v>404.18236087365244</c:v>
                </c:pt>
                <c:pt idx="60">
                  <c:v>404.18236087365239</c:v>
                </c:pt>
                <c:pt idx="61">
                  <c:v>404.18236087365244</c:v>
                </c:pt>
                <c:pt idx="62">
                  <c:v>404.18236087365239</c:v>
                </c:pt>
                <c:pt idx="63">
                  <c:v>404.18236087365239</c:v>
                </c:pt>
                <c:pt idx="64">
                  <c:v>404.18236087365239</c:v>
                </c:pt>
                <c:pt idx="65">
                  <c:v>404.18236087365239</c:v>
                </c:pt>
                <c:pt idx="66">
                  <c:v>404.18236087365244</c:v>
                </c:pt>
                <c:pt idx="67">
                  <c:v>404.18236087365239</c:v>
                </c:pt>
                <c:pt idx="68">
                  <c:v>404.18236087365239</c:v>
                </c:pt>
                <c:pt idx="69">
                  <c:v>404.18236087365239</c:v>
                </c:pt>
                <c:pt idx="70">
                  <c:v>404.18236087365239</c:v>
                </c:pt>
                <c:pt idx="71">
                  <c:v>404.18236087365239</c:v>
                </c:pt>
                <c:pt idx="72">
                  <c:v>404.18236087365239</c:v>
                </c:pt>
                <c:pt idx="73">
                  <c:v>404.18236087365239</c:v>
                </c:pt>
                <c:pt idx="74">
                  <c:v>404.18236087365239</c:v>
                </c:pt>
                <c:pt idx="75">
                  <c:v>404.18236087365239</c:v>
                </c:pt>
                <c:pt idx="76">
                  <c:v>404.18236087365239</c:v>
                </c:pt>
                <c:pt idx="77">
                  <c:v>404.18236087365239</c:v>
                </c:pt>
                <c:pt idx="78">
                  <c:v>404.18236087365239</c:v>
                </c:pt>
                <c:pt idx="79">
                  <c:v>404.18236087365239</c:v>
                </c:pt>
                <c:pt idx="80">
                  <c:v>404.18236087365239</c:v>
                </c:pt>
                <c:pt idx="81">
                  <c:v>404.18236087365239</c:v>
                </c:pt>
                <c:pt idx="82">
                  <c:v>404.18236087365239</c:v>
                </c:pt>
                <c:pt idx="83">
                  <c:v>404.18236087365239</c:v>
                </c:pt>
                <c:pt idx="84">
                  <c:v>404.18236087365239</c:v>
                </c:pt>
                <c:pt idx="85">
                  <c:v>404.18236087365239</c:v>
                </c:pt>
                <c:pt idx="86">
                  <c:v>404.18236087365239</c:v>
                </c:pt>
                <c:pt idx="87">
                  <c:v>404.18236087365239</c:v>
                </c:pt>
                <c:pt idx="88">
                  <c:v>404.18236087365239</c:v>
                </c:pt>
                <c:pt idx="89">
                  <c:v>404.18236087365239</c:v>
                </c:pt>
                <c:pt idx="90">
                  <c:v>404.18236087365244</c:v>
                </c:pt>
                <c:pt idx="91">
                  <c:v>404.18236087365239</c:v>
                </c:pt>
                <c:pt idx="92">
                  <c:v>404.18236087365239</c:v>
                </c:pt>
                <c:pt idx="93">
                  <c:v>404.18236087365239</c:v>
                </c:pt>
                <c:pt idx="94">
                  <c:v>404.18236087365233</c:v>
                </c:pt>
                <c:pt idx="95">
                  <c:v>404.18236087365244</c:v>
                </c:pt>
                <c:pt idx="96">
                  <c:v>404.18236087365239</c:v>
                </c:pt>
                <c:pt idx="97">
                  <c:v>404.18236087365244</c:v>
                </c:pt>
                <c:pt idx="98">
                  <c:v>404.18236087365239</c:v>
                </c:pt>
                <c:pt idx="99">
                  <c:v>404.18236087365239</c:v>
                </c:pt>
                <c:pt idx="100">
                  <c:v>404.18236087365239</c:v>
                </c:pt>
                <c:pt idx="101">
                  <c:v>404.18236087365244</c:v>
                </c:pt>
                <c:pt idx="102">
                  <c:v>404.18236087365239</c:v>
                </c:pt>
                <c:pt idx="103">
                  <c:v>404.18236087365244</c:v>
                </c:pt>
                <c:pt idx="104">
                  <c:v>404.18236087365239</c:v>
                </c:pt>
                <c:pt idx="105">
                  <c:v>404.18236087365244</c:v>
                </c:pt>
                <c:pt idx="106">
                  <c:v>404.18236087365233</c:v>
                </c:pt>
                <c:pt idx="107">
                  <c:v>404.18236087365244</c:v>
                </c:pt>
                <c:pt idx="108">
                  <c:v>404.18236087365239</c:v>
                </c:pt>
                <c:pt idx="109">
                  <c:v>404.18236087365244</c:v>
                </c:pt>
                <c:pt idx="110">
                  <c:v>404.18236087365233</c:v>
                </c:pt>
                <c:pt idx="111">
                  <c:v>404.18236087365239</c:v>
                </c:pt>
                <c:pt idx="112">
                  <c:v>404.18236087365239</c:v>
                </c:pt>
                <c:pt idx="113">
                  <c:v>404.18236087365239</c:v>
                </c:pt>
                <c:pt idx="114">
                  <c:v>404.18236087365244</c:v>
                </c:pt>
                <c:pt idx="115">
                  <c:v>404.18236087365239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396-4B08-A21E-5BEC2796AB47}"/>
            </c:ext>
          </c:extLst>
        </c:ser>
        <c:ser>
          <c:idx val="1"/>
          <c:order val="2"/>
          <c:tx>
            <c:v>SLV</c:v>
          </c:tx>
          <c:spPr>
            <a:ln w="19050"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'Spettri x'!$AU$15:$AU$130</c:f>
              <c:numCache>
                <c:formatCode>0.000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8.8259349900035824E-2</c:v>
                </c:pt>
                <c:pt idx="3">
                  <c:v>0.17651869980007165</c:v>
                </c:pt>
                <c:pt idx="4">
                  <c:v>0.26477804970010749</c:v>
                </c:pt>
                <c:pt idx="5">
                  <c:v>0.35303739960014335</c:v>
                </c:pt>
                <c:pt idx="6">
                  <c:v>0.44129674950017916</c:v>
                </c:pt>
                <c:pt idx="7">
                  <c:v>0.52955609940021497</c:v>
                </c:pt>
                <c:pt idx="8">
                  <c:v>0.58131719691520956</c:v>
                </c:pt>
                <c:pt idx="9">
                  <c:v>0.63307829443020414</c:v>
                </c:pt>
                <c:pt idx="10">
                  <c:v>0.68483939194519872</c:v>
                </c:pt>
                <c:pt idx="11">
                  <c:v>0.7366004894601933</c:v>
                </c:pt>
                <c:pt idx="12">
                  <c:v>0.78836158697518788</c:v>
                </c:pt>
                <c:pt idx="13">
                  <c:v>0.84012268449018246</c:v>
                </c:pt>
                <c:pt idx="14">
                  <c:v>0.89188378200517704</c:v>
                </c:pt>
                <c:pt idx="15">
                  <c:v>0.94364487952017162</c:v>
                </c:pt>
                <c:pt idx="16">
                  <c:v>0.9954059770351662</c:v>
                </c:pt>
                <c:pt idx="17">
                  <c:v>1.0471670745501609</c:v>
                </c:pt>
                <c:pt idx="18">
                  <c:v>1.0989281720651556</c:v>
                </c:pt>
                <c:pt idx="19">
                  <c:v>1.1506892695801503</c:v>
                </c:pt>
                <c:pt idx="20">
                  <c:v>1.202450367095145</c:v>
                </c:pt>
                <c:pt idx="21">
                  <c:v>1.2542114646101397</c:v>
                </c:pt>
                <c:pt idx="22">
                  <c:v>1.3059725621251344</c:v>
                </c:pt>
                <c:pt idx="23">
                  <c:v>1.357733659640129</c:v>
                </c:pt>
                <c:pt idx="24">
                  <c:v>1.4094947571551237</c:v>
                </c:pt>
                <c:pt idx="25">
                  <c:v>1.4612558546701184</c:v>
                </c:pt>
                <c:pt idx="26">
                  <c:v>1.5130169521851131</c:v>
                </c:pt>
                <c:pt idx="27">
                  <c:v>1.5647780497001076</c:v>
                </c:pt>
                <c:pt idx="28">
                  <c:v>1.5647780497001076</c:v>
                </c:pt>
                <c:pt idx="29">
                  <c:v>1.6165391472151023</c:v>
                </c:pt>
                <c:pt idx="30">
                  <c:v>1.668300244730097</c:v>
                </c:pt>
                <c:pt idx="31">
                  <c:v>1.7200613422450917</c:v>
                </c:pt>
                <c:pt idx="32">
                  <c:v>1.7718224397600864</c:v>
                </c:pt>
                <c:pt idx="33">
                  <c:v>1.823583537275081</c:v>
                </c:pt>
                <c:pt idx="34">
                  <c:v>1.8753446347900757</c:v>
                </c:pt>
                <c:pt idx="35">
                  <c:v>1.9271057323050704</c:v>
                </c:pt>
                <c:pt idx="36">
                  <c:v>1.9788668298200651</c:v>
                </c:pt>
                <c:pt idx="37">
                  <c:v>2.0306279273350598</c:v>
                </c:pt>
                <c:pt idx="38">
                  <c:v>2.0823890248500545</c:v>
                </c:pt>
                <c:pt idx="39">
                  <c:v>2.1341501223650492</c:v>
                </c:pt>
                <c:pt idx="40">
                  <c:v>2.1859112198800439</c:v>
                </c:pt>
                <c:pt idx="41">
                  <c:v>2.2376723173950386</c:v>
                </c:pt>
                <c:pt idx="42">
                  <c:v>2.2894334149100333</c:v>
                </c:pt>
                <c:pt idx="43">
                  <c:v>2.341194512425028</c:v>
                </c:pt>
                <c:pt idx="44">
                  <c:v>2.3929556099400227</c:v>
                </c:pt>
                <c:pt idx="45">
                  <c:v>2.4447167074550173</c:v>
                </c:pt>
                <c:pt idx="46">
                  <c:v>2.496477804970012</c:v>
                </c:pt>
                <c:pt idx="47">
                  <c:v>2.5482389024850067</c:v>
                </c:pt>
                <c:pt idx="48">
                  <c:v>2.6</c:v>
                </c:pt>
                <c:pt idx="49">
                  <c:v>2.62</c:v>
                </c:pt>
                <c:pt idx="50">
                  <c:v>2.64</c:v>
                </c:pt>
                <c:pt idx="51">
                  <c:v>2.66</c:v>
                </c:pt>
                <c:pt idx="52">
                  <c:v>2.68</c:v>
                </c:pt>
                <c:pt idx="53">
                  <c:v>2.7</c:v>
                </c:pt>
                <c:pt idx="54">
                  <c:v>2.72</c:v>
                </c:pt>
                <c:pt idx="55">
                  <c:v>2.74</c:v>
                </c:pt>
                <c:pt idx="56">
                  <c:v>2.7600000000000002</c:v>
                </c:pt>
                <c:pt idx="57">
                  <c:v>2.7800000000000002</c:v>
                </c:pt>
                <c:pt idx="58">
                  <c:v>2.8000000000000003</c:v>
                </c:pt>
                <c:pt idx="59">
                  <c:v>2.8200000000000003</c:v>
                </c:pt>
                <c:pt idx="60">
                  <c:v>2.8400000000000003</c:v>
                </c:pt>
                <c:pt idx="61">
                  <c:v>2.8600000000000003</c:v>
                </c:pt>
                <c:pt idx="62">
                  <c:v>2.8800000000000003</c:v>
                </c:pt>
                <c:pt idx="63">
                  <c:v>2.9000000000000004</c:v>
                </c:pt>
                <c:pt idx="64">
                  <c:v>2.9200000000000004</c:v>
                </c:pt>
                <c:pt idx="65">
                  <c:v>2.9400000000000004</c:v>
                </c:pt>
                <c:pt idx="66">
                  <c:v>2.9600000000000004</c:v>
                </c:pt>
                <c:pt idx="67">
                  <c:v>2.9800000000000004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</c:numCache>
            </c:numRef>
          </c:xVal>
          <c:yVal>
            <c:numRef>
              <c:f>'Spettri x'!$AX$15:$AX$130</c:f>
              <c:numCache>
                <c:formatCode>0.00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1.104367167173713</c:v>
                </c:pt>
                <c:pt idx="3">
                  <c:v>6.2440466226126645</c:v>
                </c:pt>
                <c:pt idx="4">
                  <c:v>14.049104900878497</c:v>
                </c:pt>
                <c:pt idx="5">
                  <c:v>24.976186490450669</c:v>
                </c:pt>
                <c:pt idx="6">
                  <c:v>39.025291391329162</c:v>
                </c:pt>
                <c:pt idx="7">
                  <c:v>56.196419603513988</c:v>
                </c:pt>
                <c:pt idx="8">
                  <c:v>61.689300071486294</c:v>
                </c:pt>
                <c:pt idx="9">
                  <c:v>67.182180539458599</c:v>
                </c:pt>
                <c:pt idx="10">
                  <c:v>72.675061007430898</c:v>
                </c:pt>
                <c:pt idx="11">
                  <c:v>78.167941475403211</c:v>
                </c:pt>
                <c:pt idx="12">
                  <c:v>83.660821943375495</c:v>
                </c:pt>
                <c:pt idx="13">
                  <c:v>89.153702411347794</c:v>
                </c:pt>
                <c:pt idx="14">
                  <c:v>94.646582879320121</c:v>
                </c:pt>
                <c:pt idx="15">
                  <c:v>100.13946334729242</c:v>
                </c:pt>
                <c:pt idx="16">
                  <c:v>105.63234381526472</c:v>
                </c:pt>
                <c:pt idx="17">
                  <c:v>111.12522428323705</c:v>
                </c:pt>
                <c:pt idx="18">
                  <c:v>116.61810475120937</c:v>
                </c:pt>
                <c:pt idx="19">
                  <c:v>122.11098521918167</c:v>
                </c:pt>
                <c:pt idx="20">
                  <c:v>127.603865687154</c:v>
                </c:pt>
                <c:pt idx="21">
                  <c:v>133.09674615512628</c:v>
                </c:pt>
                <c:pt idx="22">
                  <c:v>138.58962662309861</c:v>
                </c:pt>
                <c:pt idx="23">
                  <c:v>144.08250709107091</c:v>
                </c:pt>
                <c:pt idx="24">
                  <c:v>149.57538755904324</c:v>
                </c:pt>
                <c:pt idx="25">
                  <c:v>155.06826802701556</c:v>
                </c:pt>
                <c:pt idx="26">
                  <c:v>160.56114849498786</c:v>
                </c:pt>
                <c:pt idx="27">
                  <c:v>166.05402896296016</c:v>
                </c:pt>
                <c:pt idx="28">
                  <c:v>166.05402896296016</c:v>
                </c:pt>
                <c:pt idx="29">
                  <c:v>171.54690943093249</c:v>
                </c:pt>
                <c:pt idx="30">
                  <c:v>177.03978989890481</c:v>
                </c:pt>
                <c:pt idx="31">
                  <c:v>182.53267036687711</c:v>
                </c:pt>
                <c:pt idx="32">
                  <c:v>188.02555083484944</c:v>
                </c:pt>
                <c:pt idx="33">
                  <c:v>193.51843130282174</c:v>
                </c:pt>
                <c:pt idx="34">
                  <c:v>199.01131177079407</c:v>
                </c:pt>
                <c:pt idx="35">
                  <c:v>204.50419223876639</c:v>
                </c:pt>
                <c:pt idx="36">
                  <c:v>209.99707270673869</c:v>
                </c:pt>
                <c:pt idx="37">
                  <c:v>215.48995317471099</c:v>
                </c:pt>
                <c:pt idx="38">
                  <c:v>220.98283364268332</c:v>
                </c:pt>
                <c:pt idx="39">
                  <c:v>226.47571411065562</c:v>
                </c:pt>
                <c:pt idx="40">
                  <c:v>231.96859457862794</c:v>
                </c:pt>
                <c:pt idx="41">
                  <c:v>237.46147504660027</c:v>
                </c:pt>
                <c:pt idx="42">
                  <c:v>242.9543555145726</c:v>
                </c:pt>
                <c:pt idx="43">
                  <c:v>248.44723598254487</c:v>
                </c:pt>
                <c:pt idx="44">
                  <c:v>253.94011645051719</c:v>
                </c:pt>
                <c:pt idx="45">
                  <c:v>259.43299691848949</c:v>
                </c:pt>
                <c:pt idx="46">
                  <c:v>264.92587738646188</c:v>
                </c:pt>
                <c:pt idx="47">
                  <c:v>270.41875785443415</c:v>
                </c:pt>
                <c:pt idx="48">
                  <c:v>275.9116383224063</c:v>
                </c:pt>
                <c:pt idx="49">
                  <c:v>275.9116383224063</c:v>
                </c:pt>
                <c:pt idx="50">
                  <c:v>275.9116383224063</c:v>
                </c:pt>
                <c:pt idx="51">
                  <c:v>275.9116383224063</c:v>
                </c:pt>
                <c:pt idx="52">
                  <c:v>275.9116383224063</c:v>
                </c:pt>
                <c:pt idx="53">
                  <c:v>275.9116383224063</c:v>
                </c:pt>
                <c:pt idx="54">
                  <c:v>275.9116383224063</c:v>
                </c:pt>
                <c:pt idx="55">
                  <c:v>275.9116383224063</c:v>
                </c:pt>
                <c:pt idx="56">
                  <c:v>275.9116383224063</c:v>
                </c:pt>
                <c:pt idx="57">
                  <c:v>275.9116383224063</c:v>
                </c:pt>
                <c:pt idx="58">
                  <c:v>275.9116383224063</c:v>
                </c:pt>
                <c:pt idx="59">
                  <c:v>275.9116383224063</c:v>
                </c:pt>
                <c:pt idx="60">
                  <c:v>275.9116383224063</c:v>
                </c:pt>
                <c:pt idx="61">
                  <c:v>275.9116383224063</c:v>
                </c:pt>
                <c:pt idx="62">
                  <c:v>275.91163832240636</c:v>
                </c:pt>
                <c:pt idx="63">
                  <c:v>275.9116383224063</c:v>
                </c:pt>
                <c:pt idx="64">
                  <c:v>275.9116383224063</c:v>
                </c:pt>
                <c:pt idx="65">
                  <c:v>275.9116383224063</c:v>
                </c:pt>
                <c:pt idx="66">
                  <c:v>275.9116383224063</c:v>
                </c:pt>
                <c:pt idx="67">
                  <c:v>275.9116383224063</c:v>
                </c:pt>
                <c:pt idx="68">
                  <c:v>275.9116383224063</c:v>
                </c:pt>
                <c:pt idx="69">
                  <c:v>275.9116383224063</c:v>
                </c:pt>
                <c:pt idx="70">
                  <c:v>275.9116383224063</c:v>
                </c:pt>
                <c:pt idx="71">
                  <c:v>275.9116383224063</c:v>
                </c:pt>
                <c:pt idx="72">
                  <c:v>275.9116383224063</c:v>
                </c:pt>
                <c:pt idx="73">
                  <c:v>275.9116383224063</c:v>
                </c:pt>
                <c:pt idx="74">
                  <c:v>275.9116383224063</c:v>
                </c:pt>
                <c:pt idx="75">
                  <c:v>275.9116383224063</c:v>
                </c:pt>
                <c:pt idx="76">
                  <c:v>275.9116383224063</c:v>
                </c:pt>
                <c:pt idx="77">
                  <c:v>275.9116383224063</c:v>
                </c:pt>
                <c:pt idx="78">
                  <c:v>275.9116383224063</c:v>
                </c:pt>
                <c:pt idx="79">
                  <c:v>275.9116383224063</c:v>
                </c:pt>
                <c:pt idx="80">
                  <c:v>275.9116383224063</c:v>
                </c:pt>
                <c:pt idx="81">
                  <c:v>275.9116383224063</c:v>
                </c:pt>
                <c:pt idx="82">
                  <c:v>275.9116383224063</c:v>
                </c:pt>
                <c:pt idx="83">
                  <c:v>275.9116383224063</c:v>
                </c:pt>
                <c:pt idx="84">
                  <c:v>275.9116383224063</c:v>
                </c:pt>
                <c:pt idx="85">
                  <c:v>275.9116383224063</c:v>
                </c:pt>
                <c:pt idx="86">
                  <c:v>275.9116383224063</c:v>
                </c:pt>
                <c:pt idx="87">
                  <c:v>275.9116383224063</c:v>
                </c:pt>
                <c:pt idx="88">
                  <c:v>275.9116383224063</c:v>
                </c:pt>
                <c:pt idx="89">
                  <c:v>275.9116383224063</c:v>
                </c:pt>
                <c:pt idx="90">
                  <c:v>275.9116383224063</c:v>
                </c:pt>
                <c:pt idx="91">
                  <c:v>275.9116383224063</c:v>
                </c:pt>
                <c:pt idx="92">
                  <c:v>275.9116383224063</c:v>
                </c:pt>
                <c:pt idx="93">
                  <c:v>275.9116383224063</c:v>
                </c:pt>
                <c:pt idx="94">
                  <c:v>275.9116383224063</c:v>
                </c:pt>
                <c:pt idx="95">
                  <c:v>275.9116383224063</c:v>
                </c:pt>
                <c:pt idx="96">
                  <c:v>275.91163832240636</c:v>
                </c:pt>
                <c:pt idx="97">
                  <c:v>275.9116383224063</c:v>
                </c:pt>
                <c:pt idx="98">
                  <c:v>275.9116383224063</c:v>
                </c:pt>
                <c:pt idx="99">
                  <c:v>275.9116383224063</c:v>
                </c:pt>
                <c:pt idx="100">
                  <c:v>275.9116383224063</c:v>
                </c:pt>
                <c:pt idx="101">
                  <c:v>275.9116383224063</c:v>
                </c:pt>
                <c:pt idx="102">
                  <c:v>275.9116383224063</c:v>
                </c:pt>
                <c:pt idx="103">
                  <c:v>275.9116383224063</c:v>
                </c:pt>
                <c:pt idx="104">
                  <c:v>275.9116383224063</c:v>
                </c:pt>
                <c:pt idx="105">
                  <c:v>275.9116383224063</c:v>
                </c:pt>
                <c:pt idx="106">
                  <c:v>275.9116383224063</c:v>
                </c:pt>
                <c:pt idx="107">
                  <c:v>275.9116383224063</c:v>
                </c:pt>
                <c:pt idx="108">
                  <c:v>275.9116383224063</c:v>
                </c:pt>
                <c:pt idx="109">
                  <c:v>275.9116383224063</c:v>
                </c:pt>
                <c:pt idx="110">
                  <c:v>275.9116383224063</c:v>
                </c:pt>
                <c:pt idx="111">
                  <c:v>275.9116383224063</c:v>
                </c:pt>
                <c:pt idx="112">
                  <c:v>275.9116383224063</c:v>
                </c:pt>
                <c:pt idx="113">
                  <c:v>275.9116383224063</c:v>
                </c:pt>
                <c:pt idx="114">
                  <c:v>275.9116383224063</c:v>
                </c:pt>
                <c:pt idx="115">
                  <c:v>275.9116383224063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396-4B08-A21E-5BEC2796AB47}"/>
            </c:ext>
          </c:extLst>
        </c:ser>
        <c:ser>
          <c:idx val="2"/>
          <c:order val="3"/>
          <c:tx>
            <c:v>SLD</c:v>
          </c:tx>
          <c:spPr>
            <a:ln w="12700"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'Spettri x'!$AQ$15:$AQ$130</c:f>
              <c:numCache>
                <c:formatCode>0.000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7.6708688772966063E-2</c:v>
                </c:pt>
                <c:pt idx="3">
                  <c:v>0.15341737754593213</c:v>
                </c:pt>
                <c:pt idx="4">
                  <c:v>0.23012606631889818</c:v>
                </c:pt>
                <c:pt idx="5">
                  <c:v>0.3068347550918642</c:v>
                </c:pt>
                <c:pt idx="6">
                  <c:v>0.38354344386483025</c:v>
                </c:pt>
                <c:pt idx="7">
                  <c:v>0.46025213263779635</c:v>
                </c:pt>
                <c:pt idx="8">
                  <c:v>0.49694582932185144</c:v>
                </c:pt>
                <c:pt idx="9">
                  <c:v>0.53363952600590658</c:v>
                </c:pt>
                <c:pt idx="10">
                  <c:v>0.57033322268996167</c:v>
                </c:pt>
                <c:pt idx="11">
                  <c:v>0.60702691937401676</c:v>
                </c:pt>
                <c:pt idx="12">
                  <c:v>0.64372061605807185</c:v>
                </c:pt>
                <c:pt idx="13">
                  <c:v>0.68041431274212694</c:v>
                </c:pt>
                <c:pt idx="14">
                  <c:v>0.71710800942618202</c:v>
                </c:pt>
                <c:pt idx="15">
                  <c:v>0.75380170611023711</c:v>
                </c:pt>
                <c:pt idx="16">
                  <c:v>0.7904954027942922</c:v>
                </c:pt>
                <c:pt idx="17">
                  <c:v>0.82718909947834729</c:v>
                </c:pt>
                <c:pt idx="18">
                  <c:v>0.86388279616240238</c:v>
                </c:pt>
                <c:pt idx="19">
                  <c:v>0.90057649284645747</c:v>
                </c:pt>
                <c:pt idx="20">
                  <c:v>0.93727018953051255</c:v>
                </c:pt>
                <c:pt idx="21">
                  <c:v>0.97396388621456764</c:v>
                </c:pt>
                <c:pt idx="22">
                  <c:v>1.0106575828986228</c:v>
                </c:pt>
                <c:pt idx="23">
                  <c:v>1.0473512795826778</c:v>
                </c:pt>
                <c:pt idx="24">
                  <c:v>1.0840449762667328</c:v>
                </c:pt>
                <c:pt idx="25">
                  <c:v>1.1207386729507878</c:v>
                </c:pt>
                <c:pt idx="26">
                  <c:v>1.1574323696348428</c:v>
                </c:pt>
                <c:pt idx="27">
                  <c:v>1.1941260663188982</c:v>
                </c:pt>
                <c:pt idx="28">
                  <c:v>1.1941260663188982</c:v>
                </c:pt>
                <c:pt idx="29">
                  <c:v>1.2308197630029534</c:v>
                </c:pt>
                <c:pt idx="30">
                  <c:v>1.2675134596870086</c:v>
                </c:pt>
                <c:pt idx="31">
                  <c:v>1.3042071563710638</c:v>
                </c:pt>
                <c:pt idx="32">
                  <c:v>1.340900853055119</c:v>
                </c:pt>
                <c:pt idx="33">
                  <c:v>1.3775945497391742</c:v>
                </c:pt>
                <c:pt idx="34">
                  <c:v>1.4142882464232294</c:v>
                </c:pt>
                <c:pt idx="35">
                  <c:v>1.4509819431072846</c:v>
                </c:pt>
                <c:pt idx="36">
                  <c:v>1.4876756397913398</c:v>
                </c:pt>
                <c:pt idx="37">
                  <c:v>1.524369336475395</c:v>
                </c:pt>
                <c:pt idx="38">
                  <c:v>1.5610630331594502</c:v>
                </c:pt>
                <c:pt idx="39">
                  <c:v>1.5977567298435054</c:v>
                </c:pt>
                <c:pt idx="40">
                  <c:v>1.6344504265275606</c:v>
                </c:pt>
                <c:pt idx="41">
                  <c:v>1.6711441232116158</c:v>
                </c:pt>
                <c:pt idx="42">
                  <c:v>1.707837819895671</c:v>
                </c:pt>
                <c:pt idx="43">
                  <c:v>1.7445315165797262</c:v>
                </c:pt>
                <c:pt idx="44">
                  <c:v>1.7812252132637814</c:v>
                </c:pt>
                <c:pt idx="45">
                  <c:v>1.8179189099478366</c:v>
                </c:pt>
                <c:pt idx="46">
                  <c:v>1.8546126066318918</c:v>
                </c:pt>
                <c:pt idx="47">
                  <c:v>1.891306303315947</c:v>
                </c:pt>
                <c:pt idx="48">
                  <c:v>1.9280000000000002</c:v>
                </c:pt>
                <c:pt idx="49">
                  <c:v>1.9816000000000003</c:v>
                </c:pt>
                <c:pt idx="50">
                  <c:v>2.0352000000000001</c:v>
                </c:pt>
                <c:pt idx="51">
                  <c:v>2.0888</c:v>
                </c:pt>
                <c:pt idx="52">
                  <c:v>2.1423999999999999</c:v>
                </c:pt>
                <c:pt idx="53">
                  <c:v>2.1959999999999997</c:v>
                </c:pt>
                <c:pt idx="54">
                  <c:v>2.2495999999999996</c:v>
                </c:pt>
                <c:pt idx="55">
                  <c:v>2.3031999999999995</c:v>
                </c:pt>
                <c:pt idx="56">
                  <c:v>2.3567999999999993</c:v>
                </c:pt>
                <c:pt idx="57">
                  <c:v>2.4103999999999992</c:v>
                </c:pt>
                <c:pt idx="58">
                  <c:v>2.4639999999999991</c:v>
                </c:pt>
                <c:pt idx="59">
                  <c:v>2.5175999999999989</c:v>
                </c:pt>
                <c:pt idx="60">
                  <c:v>2.5711999999999988</c:v>
                </c:pt>
                <c:pt idx="61">
                  <c:v>2.6247999999999987</c:v>
                </c:pt>
                <c:pt idx="62">
                  <c:v>2.6783999999999986</c:v>
                </c:pt>
                <c:pt idx="63">
                  <c:v>2.7319999999999984</c:v>
                </c:pt>
                <c:pt idx="64">
                  <c:v>2.7855999999999983</c:v>
                </c:pt>
                <c:pt idx="65">
                  <c:v>2.8391999999999982</c:v>
                </c:pt>
                <c:pt idx="66">
                  <c:v>2.892799999999998</c:v>
                </c:pt>
                <c:pt idx="67">
                  <c:v>2.9463999999999979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</c:numCache>
            </c:numRef>
          </c:xVal>
          <c:yVal>
            <c:numRef>
              <c:f>'Spettri x'!$AT$15:$AT$130</c:f>
              <c:numCache>
                <c:formatCode>0.00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0.29818653376555521</c:v>
                </c:pt>
                <c:pt idx="3">
                  <c:v>1.6661037688806417</c:v>
                </c:pt>
                <c:pt idx="4">
                  <c:v>3.7487334799814431</c:v>
                </c:pt>
                <c:pt idx="5">
                  <c:v>6.6644150755225624</c:v>
                </c:pt>
                <c:pt idx="6">
                  <c:v>10.413148555504005</c:v>
                </c:pt>
                <c:pt idx="7">
                  <c:v>14.994933919925773</c:v>
                </c:pt>
                <c:pt idx="8">
                  <c:v>16.190408135116883</c:v>
                </c:pt>
                <c:pt idx="9">
                  <c:v>17.385882350307998</c:v>
                </c:pt>
                <c:pt idx="10">
                  <c:v>18.581356565499107</c:v>
                </c:pt>
                <c:pt idx="11">
                  <c:v>19.776830780690222</c:v>
                </c:pt>
                <c:pt idx="12">
                  <c:v>20.972304995881338</c:v>
                </c:pt>
                <c:pt idx="13">
                  <c:v>22.16777921107245</c:v>
                </c:pt>
                <c:pt idx="14">
                  <c:v>23.363253426263562</c:v>
                </c:pt>
                <c:pt idx="15">
                  <c:v>24.558727641454674</c:v>
                </c:pt>
                <c:pt idx="16">
                  <c:v>25.754201856645786</c:v>
                </c:pt>
                <c:pt idx="17">
                  <c:v>26.949676071836901</c:v>
                </c:pt>
                <c:pt idx="18">
                  <c:v>28.145150287028013</c:v>
                </c:pt>
                <c:pt idx="19">
                  <c:v>29.340624502219121</c:v>
                </c:pt>
                <c:pt idx="20">
                  <c:v>30.536098717410241</c:v>
                </c:pt>
                <c:pt idx="21">
                  <c:v>31.731572932601349</c:v>
                </c:pt>
                <c:pt idx="22">
                  <c:v>32.927047147792464</c:v>
                </c:pt>
                <c:pt idx="23">
                  <c:v>34.122521362983569</c:v>
                </c:pt>
                <c:pt idx="24">
                  <c:v>35.317995578174688</c:v>
                </c:pt>
                <c:pt idx="25">
                  <c:v>36.513469793365793</c:v>
                </c:pt>
                <c:pt idx="26">
                  <c:v>37.708944008556898</c:v>
                </c:pt>
                <c:pt idx="27">
                  <c:v>38.904418223748024</c:v>
                </c:pt>
                <c:pt idx="28">
                  <c:v>38.904418223748024</c:v>
                </c:pt>
                <c:pt idx="29">
                  <c:v>40.099892438939136</c:v>
                </c:pt>
                <c:pt idx="30">
                  <c:v>41.295366654130248</c:v>
                </c:pt>
                <c:pt idx="31">
                  <c:v>42.490840869321367</c:v>
                </c:pt>
                <c:pt idx="32">
                  <c:v>43.686315084512486</c:v>
                </c:pt>
                <c:pt idx="33">
                  <c:v>44.881789299703605</c:v>
                </c:pt>
                <c:pt idx="34">
                  <c:v>46.077263514894717</c:v>
                </c:pt>
                <c:pt idx="35">
                  <c:v>47.272737730085829</c:v>
                </c:pt>
                <c:pt idx="36">
                  <c:v>48.468211945276956</c:v>
                </c:pt>
                <c:pt idx="37">
                  <c:v>49.663686160468075</c:v>
                </c:pt>
                <c:pt idx="38">
                  <c:v>50.859160375659179</c:v>
                </c:pt>
                <c:pt idx="39">
                  <c:v>52.054634590850306</c:v>
                </c:pt>
                <c:pt idx="40">
                  <c:v>53.250108806041425</c:v>
                </c:pt>
                <c:pt idx="41">
                  <c:v>54.445583021232537</c:v>
                </c:pt>
                <c:pt idx="42">
                  <c:v>55.641057236423649</c:v>
                </c:pt>
                <c:pt idx="43">
                  <c:v>56.836531451614761</c:v>
                </c:pt>
                <c:pt idx="44">
                  <c:v>58.03200566680588</c:v>
                </c:pt>
                <c:pt idx="45">
                  <c:v>59.227479881996999</c:v>
                </c:pt>
                <c:pt idx="46">
                  <c:v>60.422954097188111</c:v>
                </c:pt>
                <c:pt idx="47">
                  <c:v>61.618428312379223</c:v>
                </c:pt>
                <c:pt idx="48">
                  <c:v>62.813902527570264</c:v>
                </c:pt>
                <c:pt idx="49">
                  <c:v>62.813902527570278</c:v>
                </c:pt>
                <c:pt idx="50">
                  <c:v>62.813902527570285</c:v>
                </c:pt>
                <c:pt idx="51">
                  <c:v>62.813902527570278</c:v>
                </c:pt>
                <c:pt idx="52">
                  <c:v>62.813902527570278</c:v>
                </c:pt>
                <c:pt idx="53">
                  <c:v>62.813902527570278</c:v>
                </c:pt>
                <c:pt idx="54">
                  <c:v>62.813902527570278</c:v>
                </c:pt>
                <c:pt idx="55">
                  <c:v>62.813902527570278</c:v>
                </c:pt>
                <c:pt idx="56">
                  <c:v>62.813902527570278</c:v>
                </c:pt>
                <c:pt idx="57">
                  <c:v>62.813902527570278</c:v>
                </c:pt>
                <c:pt idx="58">
                  <c:v>62.813902527570278</c:v>
                </c:pt>
                <c:pt idx="59">
                  <c:v>62.813902527570278</c:v>
                </c:pt>
                <c:pt idx="60">
                  <c:v>62.813902527570278</c:v>
                </c:pt>
                <c:pt idx="61">
                  <c:v>62.813902527570278</c:v>
                </c:pt>
                <c:pt idx="62">
                  <c:v>62.813902527570264</c:v>
                </c:pt>
                <c:pt idx="63">
                  <c:v>62.813902527570278</c:v>
                </c:pt>
                <c:pt idx="64">
                  <c:v>62.813902527570264</c:v>
                </c:pt>
                <c:pt idx="65">
                  <c:v>62.813902527570278</c:v>
                </c:pt>
                <c:pt idx="66">
                  <c:v>62.813902527570285</c:v>
                </c:pt>
                <c:pt idx="67">
                  <c:v>62.813902527570278</c:v>
                </c:pt>
                <c:pt idx="68">
                  <c:v>62.813902527570264</c:v>
                </c:pt>
                <c:pt idx="69">
                  <c:v>62.813902527570264</c:v>
                </c:pt>
                <c:pt idx="70">
                  <c:v>62.813902527570264</c:v>
                </c:pt>
                <c:pt idx="71">
                  <c:v>62.813902527570264</c:v>
                </c:pt>
                <c:pt idx="72">
                  <c:v>62.813902527570264</c:v>
                </c:pt>
                <c:pt idx="73">
                  <c:v>62.813902527570264</c:v>
                </c:pt>
                <c:pt idx="74">
                  <c:v>62.813902527570264</c:v>
                </c:pt>
                <c:pt idx="75">
                  <c:v>62.813902527570264</c:v>
                </c:pt>
                <c:pt idx="76">
                  <c:v>62.813902527570264</c:v>
                </c:pt>
                <c:pt idx="77">
                  <c:v>62.813902527570264</c:v>
                </c:pt>
                <c:pt idx="78">
                  <c:v>62.813902527570264</c:v>
                </c:pt>
                <c:pt idx="79">
                  <c:v>62.813902527570264</c:v>
                </c:pt>
                <c:pt idx="80">
                  <c:v>62.813902527570264</c:v>
                </c:pt>
                <c:pt idx="81">
                  <c:v>62.813902527570264</c:v>
                </c:pt>
                <c:pt idx="82">
                  <c:v>62.813902527570264</c:v>
                </c:pt>
                <c:pt idx="83">
                  <c:v>62.813902527570264</c:v>
                </c:pt>
                <c:pt idx="84">
                  <c:v>62.813902527570264</c:v>
                </c:pt>
                <c:pt idx="85">
                  <c:v>62.813902527570264</c:v>
                </c:pt>
                <c:pt idx="86">
                  <c:v>62.813902527570264</c:v>
                </c:pt>
                <c:pt idx="87">
                  <c:v>62.813902527570264</c:v>
                </c:pt>
                <c:pt idx="88">
                  <c:v>62.813902527570264</c:v>
                </c:pt>
                <c:pt idx="89">
                  <c:v>62.813902527570264</c:v>
                </c:pt>
                <c:pt idx="90">
                  <c:v>62.813902527570278</c:v>
                </c:pt>
                <c:pt idx="91">
                  <c:v>62.813902527570278</c:v>
                </c:pt>
                <c:pt idx="92">
                  <c:v>62.813902527570278</c:v>
                </c:pt>
                <c:pt idx="93">
                  <c:v>62.813902527570278</c:v>
                </c:pt>
                <c:pt idx="94">
                  <c:v>62.813902527570278</c:v>
                </c:pt>
                <c:pt idx="95">
                  <c:v>62.813902527570278</c:v>
                </c:pt>
                <c:pt idx="96">
                  <c:v>62.813902527570278</c:v>
                </c:pt>
                <c:pt idx="97">
                  <c:v>62.813902527570264</c:v>
                </c:pt>
                <c:pt idx="98">
                  <c:v>62.813902527570278</c:v>
                </c:pt>
                <c:pt idx="99">
                  <c:v>62.813902527570278</c:v>
                </c:pt>
                <c:pt idx="100">
                  <c:v>62.813902527570278</c:v>
                </c:pt>
                <c:pt idx="101">
                  <c:v>62.813902527570278</c:v>
                </c:pt>
                <c:pt idx="102">
                  <c:v>62.813902527570278</c:v>
                </c:pt>
                <c:pt idx="103">
                  <c:v>62.813902527570278</c:v>
                </c:pt>
                <c:pt idx="104">
                  <c:v>62.813902527570278</c:v>
                </c:pt>
                <c:pt idx="105">
                  <c:v>62.813902527570278</c:v>
                </c:pt>
                <c:pt idx="106">
                  <c:v>62.813902527570278</c:v>
                </c:pt>
                <c:pt idx="107">
                  <c:v>62.813902527570278</c:v>
                </c:pt>
                <c:pt idx="108">
                  <c:v>62.813902527570278</c:v>
                </c:pt>
                <c:pt idx="109">
                  <c:v>62.813902527570264</c:v>
                </c:pt>
                <c:pt idx="110">
                  <c:v>62.813902527570278</c:v>
                </c:pt>
                <c:pt idx="111">
                  <c:v>62.813902527570264</c:v>
                </c:pt>
                <c:pt idx="112">
                  <c:v>62.813902527570285</c:v>
                </c:pt>
                <c:pt idx="113">
                  <c:v>62.813902527570278</c:v>
                </c:pt>
                <c:pt idx="114">
                  <c:v>62.813902527570278</c:v>
                </c:pt>
                <c:pt idx="115">
                  <c:v>62.813902527570264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396-4B08-A21E-5BEC2796AB47}"/>
            </c:ext>
          </c:extLst>
        </c:ser>
        <c:ser>
          <c:idx val="3"/>
          <c:order val="4"/>
          <c:tx>
            <c:v>SLO</c:v>
          </c:tx>
          <c:spPr>
            <a:ln w="1270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xVal>
            <c:numRef>
              <c:f>'Spettri x'!$AM$15:$AM$130</c:f>
              <c:numCache>
                <c:formatCode>0.000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7.4581983584264488E-2</c:v>
                </c:pt>
                <c:pt idx="3">
                  <c:v>0.14916396716852898</c:v>
                </c:pt>
                <c:pt idx="4">
                  <c:v>0.22374595075279347</c:v>
                </c:pt>
                <c:pt idx="5">
                  <c:v>0.29832793433705795</c:v>
                </c:pt>
                <c:pt idx="6">
                  <c:v>0.37290991792132244</c:v>
                </c:pt>
                <c:pt idx="7">
                  <c:v>0.44749190150558693</c:v>
                </c:pt>
                <c:pt idx="8">
                  <c:v>0.48240460396794727</c:v>
                </c:pt>
                <c:pt idx="9">
                  <c:v>0.5173173064303076</c:v>
                </c:pt>
                <c:pt idx="10">
                  <c:v>0.55223000889266793</c:v>
                </c:pt>
                <c:pt idx="11">
                  <c:v>0.58714271135502827</c:v>
                </c:pt>
                <c:pt idx="12">
                  <c:v>0.6220554138173886</c:v>
                </c:pt>
                <c:pt idx="13">
                  <c:v>0.65696811627974894</c:v>
                </c:pt>
                <c:pt idx="14">
                  <c:v>0.69188081874210927</c:v>
                </c:pt>
                <c:pt idx="15">
                  <c:v>0.72679352120446961</c:v>
                </c:pt>
                <c:pt idx="16">
                  <c:v>0.76170622366682994</c:v>
                </c:pt>
                <c:pt idx="17">
                  <c:v>0.79661892612919027</c:v>
                </c:pt>
                <c:pt idx="18">
                  <c:v>0.83153162859155061</c:v>
                </c:pt>
                <c:pt idx="19">
                  <c:v>0.86644433105391094</c:v>
                </c:pt>
                <c:pt idx="20">
                  <c:v>0.90135703351627128</c:v>
                </c:pt>
                <c:pt idx="21">
                  <c:v>0.93626973597863161</c:v>
                </c:pt>
                <c:pt idx="22">
                  <c:v>0.97118243844099195</c:v>
                </c:pt>
                <c:pt idx="23">
                  <c:v>1.0060951409033523</c:v>
                </c:pt>
                <c:pt idx="24">
                  <c:v>1.0410078433657126</c:v>
                </c:pt>
                <c:pt idx="25">
                  <c:v>1.0759205458280729</c:v>
                </c:pt>
                <c:pt idx="26">
                  <c:v>1.1108332482904333</c:v>
                </c:pt>
                <c:pt idx="27">
                  <c:v>1.1457459507527936</c:v>
                </c:pt>
                <c:pt idx="28">
                  <c:v>1.1457459507527936</c:v>
                </c:pt>
                <c:pt idx="29">
                  <c:v>1.180658653215154</c:v>
                </c:pt>
                <c:pt idx="30">
                  <c:v>1.2155713556775143</c:v>
                </c:pt>
                <c:pt idx="31">
                  <c:v>1.2504840581398746</c:v>
                </c:pt>
                <c:pt idx="32">
                  <c:v>1.285396760602235</c:v>
                </c:pt>
                <c:pt idx="33">
                  <c:v>1.3203094630645953</c:v>
                </c:pt>
                <c:pt idx="34">
                  <c:v>1.3552221655269556</c:v>
                </c:pt>
                <c:pt idx="35">
                  <c:v>1.390134867989316</c:v>
                </c:pt>
                <c:pt idx="36">
                  <c:v>1.4250475704516763</c:v>
                </c:pt>
                <c:pt idx="37">
                  <c:v>1.4599602729140366</c:v>
                </c:pt>
                <c:pt idx="38">
                  <c:v>1.494872975376397</c:v>
                </c:pt>
                <c:pt idx="39">
                  <c:v>1.5297856778387573</c:v>
                </c:pt>
                <c:pt idx="40">
                  <c:v>1.5646983803011176</c:v>
                </c:pt>
                <c:pt idx="41">
                  <c:v>1.599611082763478</c:v>
                </c:pt>
                <c:pt idx="42">
                  <c:v>1.6345237852258383</c:v>
                </c:pt>
                <c:pt idx="43">
                  <c:v>1.6694364876881986</c:v>
                </c:pt>
                <c:pt idx="44">
                  <c:v>1.704349190150559</c:v>
                </c:pt>
                <c:pt idx="45">
                  <c:v>1.7392618926129193</c:v>
                </c:pt>
                <c:pt idx="46">
                  <c:v>1.7741745950752796</c:v>
                </c:pt>
                <c:pt idx="47">
                  <c:v>1.80908729753764</c:v>
                </c:pt>
                <c:pt idx="48">
                  <c:v>1.8440000000000001</c:v>
                </c:pt>
                <c:pt idx="49">
                  <c:v>1.8729</c:v>
                </c:pt>
                <c:pt idx="50">
                  <c:v>1.9017999999999999</c:v>
                </c:pt>
                <c:pt idx="51">
                  <c:v>1.9306999999999999</c:v>
                </c:pt>
                <c:pt idx="52">
                  <c:v>1.9595999999999998</c:v>
                </c:pt>
                <c:pt idx="53">
                  <c:v>1.9884999999999997</c:v>
                </c:pt>
                <c:pt idx="54">
                  <c:v>2.0173999999999999</c:v>
                </c:pt>
                <c:pt idx="55">
                  <c:v>2.0463</c:v>
                </c:pt>
                <c:pt idx="56">
                  <c:v>2.0752000000000002</c:v>
                </c:pt>
                <c:pt idx="57">
                  <c:v>2.1041000000000003</c:v>
                </c:pt>
                <c:pt idx="58">
                  <c:v>2.1330000000000005</c:v>
                </c:pt>
                <c:pt idx="59">
                  <c:v>2.1619000000000006</c:v>
                </c:pt>
                <c:pt idx="60">
                  <c:v>2.1908000000000007</c:v>
                </c:pt>
                <c:pt idx="61">
                  <c:v>2.2197000000000009</c:v>
                </c:pt>
                <c:pt idx="62">
                  <c:v>2.248600000000001</c:v>
                </c:pt>
                <c:pt idx="63">
                  <c:v>2.2775000000000012</c:v>
                </c:pt>
                <c:pt idx="64">
                  <c:v>2.3064000000000013</c:v>
                </c:pt>
                <c:pt idx="65">
                  <c:v>2.3353000000000015</c:v>
                </c:pt>
                <c:pt idx="66">
                  <c:v>2.3642000000000016</c:v>
                </c:pt>
                <c:pt idx="67">
                  <c:v>2.3931000000000018</c:v>
                </c:pt>
                <c:pt idx="68">
                  <c:v>2.4220000000000002</c:v>
                </c:pt>
                <c:pt idx="69">
                  <c:v>2.4220000000000002</c:v>
                </c:pt>
                <c:pt idx="70">
                  <c:v>2.4509000000000003</c:v>
                </c:pt>
                <c:pt idx="71">
                  <c:v>2.4798000000000004</c:v>
                </c:pt>
                <c:pt idx="72">
                  <c:v>2.5087000000000006</c:v>
                </c:pt>
                <c:pt idx="73">
                  <c:v>2.5376000000000007</c:v>
                </c:pt>
                <c:pt idx="74">
                  <c:v>2.5665000000000009</c:v>
                </c:pt>
                <c:pt idx="75">
                  <c:v>2.595400000000001</c:v>
                </c:pt>
                <c:pt idx="76">
                  <c:v>2.6243000000000012</c:v>
                </c:pt>
                <c:pt idx="77">
                  <c:v>2.6532000000000013</c:v>
                </c:pt>
                <c:pt idx="78">
                  <c:v>2.6821000000000015</c:v>
                </c:pt>
                <c:pt idx="79">
                  <c:v>2.7110000000000016</c:v>
                </c:pt>
                <c:pt idx="80">
                  <c:v>2.7399000000000018</c:v>
                </c:pt>
                <c:pt idx="81">
                  <c:v>2.7688000000000019</c:v>
                </c:pt>
                <c:pt idx="82">
                  <c:v>2.7977000000000021</c:v>
                </c:pt>
                <c:pt idx="83">
                  <c:v>2.8266000000000022</c:v>
                </c:pt>
                <c:pt idx="84">
                  <c:v>2.8555000000000024</c:v>
                </c:pt>
                <c:pt idx="85">
                  <c:v>2.8844000000000025</c:v>
                </c:pt>
                <c:pt idx="86">
                  <c:v>2.9133000000000027</c:v>
                </c:pt>
                <c:pt idx="87">
                  <c:v>2.9422000000000028</c:v>
                </c:pt>
                <c:pt idx="88">
                  <c:v>2.971100000000003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</c:numCache>
            </c:numRef>
          </c:xVal>
          <c:yVal>
            <c:numRef>
              <c:f>'Spettri x'!$AP$15:$AP$130</c:f>
              <c:numCache>
                <c:formatCode>0.00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0.21247483753023669</c:v>
                </c:pt>
                <c:pt idx="3">
                  <c:v>1.193906229931806</c:v>
                </c:pt>
                <c:pt idx="4">
                  <c:v>2.6862890173465641</c:v>
                </c:pt>
                <c:pt idx="5">
                  <c:v>4.7756249197272238</c:v>
                </c:pt>
                <c:pt idx="6">
                  <c:v>7.4619139370737892</c:v>
                </c:pt>
                <c:pt idx="7">
                  <c:v>10.745156069386256</c:v>
                </c:pt>
                <c:pt idx="8">
                  <c:v>11.583478361923708</c:v>
                </c:pt>
                <c:pt idx="9">
                  <c:v>12.421800654461162</c:v>
                </c:pt>
                <c:pt idx="10">
                  <c:v>13.260122946998615</c:v>
                </c:pt>
                <c:pt idx="11">
                  <c:v>14.098445239536069</c:v>
                </c:pt>
                <c:pt idx="12">
                  <c:v>14.936767532073519</c:v>
                </c:pt>
                <c:pt idx="13">
                  <c:v>15.775089824610973</c:v>
                </c:pt>
                <c:pt idx="14">
                  <c:v>16.613412117148425</c:v>
                </c:pt>
                <c:pt idx="15">
                  <c:v>17.451734409685876</c:v>
                </c:pt>
                <c:pt idx="16">
                  <c:v>18.290056702223332</c:v>
                </c:pt>
                <c:pt idx="17">
                  <c:v>19.12837899476078</c:v>
                </c:pt>
                <c:pt idx="18">
                  <c:v>19.966701287298235</c:v>
                </c:pt>
                <c:pt idx="19">
                  <c:v>20.805023579835687</c:v>
                </c:pt>
                <c:pt idx="20">
                  <c:v>21.643345872373139</c:v>
                </c:pt>
                <c:pt idx="21">
                  <c:v>22.481668164910591</c:v>
                </c:pt>
                <c:pt idx="22">
                  <c:v>23.319990457448046</c:v>
                </c:pt>
                <c:pt idx="23">
                  <c:v>24.158312749985498</c:v>
                </c:pt>
                <c:pt idx="24">
                  <c:v>24.996635042522954</c:v>
                </c:pt>
                <c:pt idx="25">
                  <c:v>25.834957335060405</c:v>
                </c:pt>
                <c:pt idx="26">
                  <c:v>26.673279627597854</c:v>
                </c:pt>
                <c:pt idx="27">
                  <c:v>27.511601920135309</c:v>
                </c:pt>
                <c:pt idx="28">
                  <c:v>27.511601920135309</c:v>
                </c:pt>
                <c:pt idx="29">
                  <c:v>28.349924212672757</c:v>
                </c:pt>
                <c:pt idx="30">
                  <c:v>29.188246505210216</c:v>
                </c:pt>
                <c:pt idx="31">
                  <c:v>30.026568797747665</c:v>
                </c:pt>
                <c:pt idx="32">
                  <c:v>30.864891090285123</c:v>
                </c:pt>
                <c:pt idx="33">
                  <c:v>31.703213382822568</c:v>
                </c:pt>
                <c:pt idx="34">
                  <c:v>32.541535675360031</c:v>
                </c:pt>
                <c:pt idx="35">
                  <c:v>33.379857967897479</c:v>
                </c:pt>
                <c:pt idx="36">
                  <c:v>34.218180260434927</c:v>
                </c:pt>
                <c:pt idx="37">
                  <c:v>35.056502552972383</c:v>
                </c:pt>
                <c:pt idx="38">
                  <c:v>35.894824845509838</c:v>
                </c:pt>
                <c:pt idx="39">
                  <c:v>36.733147138047293</c:v>
                </c:pt>
                <c:pt idx="40">
                  <c:v>37.571469430584742</c:v>
                </c:pt>
                <c:pt idx="41">
                  <c:v>38.409791723122197</c:v>
                </c:pt>
                <c:pt idx="42">
                  <c:v>39.248114015659652</c:v>
                </c:pt>
                <c:pt idx="43">
                  <c:v>40.086436308197094</c:v>
                </c:pt>
                <c:pt idx="44">
                  <c:v>40.924758600734556</c:v>
                </c:pt>
                <c:pt idx="45">
                  <c:v>41.763080893271997</c:v>
                </c:pt>
                <c:pt idx="46">
                  <c:v>42.601403185809467</c:v>
                </c:pt>
                <c:pt idx="47">
                  <c:v>43.439725478346915</c:v>
                </c:pt>
                <c:pt idx="48">
                  <c:v>44.278047770884356</c:v>
                </c:pt>
                <c:pt idx="49">
                  <c:v>44.278047770884356</c:v>
                </c:pt>
                <c:pt idx="50">
                  <c:v>44.278047770884356</c:v>
                </c:pt>
                <c:pt idx="51">
                  <c:v>44.278047770884356</c:v>
                </c:pt>
                <c:pt idx="52">
                  <c:v>44.278047770884356</c:v>
                </c:pt>
                <c:pt idx="53">
                  <c:v>44.278047770884363</c:v>
                </c:pt>
                <c:pt idx="54">
                  <c:v>44.278047770884356</c:v>
                </c:pt>
                <c:pt idx="55">
                  <c:v>44.278047770884356</c:v>
                </c:pt>
                <c:pt idx="56">
                  <c:v>44.278047770884363</c:v>
                </c:pt>
                <c:pt idx="57">
                  <c:v>44.278047770884356</c:v>
                </c:pt>
                <c:pt idx="58">
                  <c:v>44.278047770884356</c:v>
                </c:pt>
                <c:pt idx="59">
                  <c:v>44.278047770884363</c:v>
                </c:pt>
                <c:pt idx="60">
                  <c:v>44.278047770884363</c:v>
                </c:pt>
                <c:pt idx="61">
                  <c:v>44.278047770884356</c:v>
                </c:pt>
                <c:pt idx="62">
                  <c:v>44.278047770884356</c:v>
                </c:pt>
                <c:pt idx="63">
                  <c:v>44.278047770884356</c:v>
                </c:pt>
                <c:pt idx="64">
                  <c:v>44.27804777088437</c:v>
                </c:pt>
                <c:pt idx="65">
                  <c:v>44.278047770884363</c:v>
                </c:pt>
                <c:pt idx="66">
                  <c:v>44.278047770884356</c:v>
                </c:pt>
                <c:pt idx="67">
                  <c:v>44.278047770884363</c:v>
                </c:pt>
                <c:pt idx="68">
                  <c:v>44.278047770884356</c:v>
                </c:pt>
                <c:pt idx="69">
                  <c:v>44.278047770884356</c:v>
                </c:pt>
                <c:pt idx="70">
                  <c:v>44.278047770884363</c:v>
                </c:pt>
                <c:pt idx="71">
                  <c:v>44.278047770884363</c:v>
                </c:pt>
                <c:pt idx="72">
                  <c:v>44.278047770884356</c:v>
                </c:pt>
                <c:pt idx="73">
                  <c:v>44.278047770884363</c:v>
                </c:pt>
                <c:pt idx="74">
                  <c:v>44.278047770884356</c:v>
                </c:pt>
                <c:pt idx="75">
                  <c:v>44.278047770884356</c:v>
                </c:pt>
                <c:pt idx="76">
                  <c:v>44.278047770884356</c:v>
                </c:pt>
                <c:pt idx="77">
                  <c:v>44.278047770884356</c:v>
                </c:pt>
                <c:pt idx="78">
                  <c:v>44.278047770884356</c:v>
                </c:pt>
                <c:pt idx="79">
                  <c:v>44.278047770884356</c:v>
                </c:pt>
                <c:pt idx="80">
                  <c:v>44.278047770884363</c:v>
                </c:pt>
                <c:pt idx="81">
                  <c:v>44.278047770884363</c:v>
                </c:pt>
                <c:pt idx="82">
                  <c:v>44.278047770884363</c:v>
                </c:pt>
                <c:pt idx="83">
                  <c:v>44.278047770884356</c:v>
                </c:pt>
                <c:pt idx="84">
                  <c:v>44.278047770884356</c:v>
                </c:pt>
                <c:pt idx="85">
                  <c:v>44.278047770884363</c:v>
                </c:pt>
                <c:pt idx="86">
                  <c:v>44.278047770884356</c:v>
                </c:pt>
                <c:pt idx="87">
                  <c:v>44.278047770884356</c:v>
                </c:pt>
                <c:pt idx="88">
                  <c:v>44.278047770884356</c:v>
                </c:pt>
                <c:pt idx="89">
                  <c:v>44.278047770884356</c:v>
                </c:pt>
                <c:pt idx="90">
                  <c:v>44.278047770884356</c:v>
                </c:pt>
                <c:pt idx="91">
                  <c:v>44.278047770884356</c:v>
                </c:pt>
                <c:pt idx="92">
                  <c:v>44.27804777088437</c:v>
                </c:pt>
                <c:pt idx="93">
                  <c:v>44.278047770884356</c:v>
                </c:pt>
                <c:pt idx="94">
                  <c:v>44.278047770884356</c:v>
                </c:pt>
                <c:pt idx="95">
                  <c:v>44.278047770884356</c:v>
                </c:pt>
                <c:pt idx="96">
                  <c:v>44.278047770884363</c:v>
                </c:pt>
                <c:pt idx="97">
                  <c:v>44.278047770884356</c:v>
                </c:pt>
                <c:pt idx="98">
                  <c:v>44.278047770884356</c:v>
                </c:pt>
                <c:pt idx="99">
                  <c:v>44.278047770884356</c:v>
                </c:pt>
                <c:pt idx="100">
                  <c:v>44.278047770884363</c:v>
                </c:pt>
                <c:pt idx="101">
                  <c:v>44.278047770884363</c:v>
                </c:pt>
                <c:pt idx="102">
                  <c:v>44.278047770884363</c:v>
                </c:pt>
                <c:pt idx="103">
                  <c:v>44.278047770884363</c:v>
                </c:pt>
                <c:pt idx="104">
                  <c:v>44.278047770884356</c:v>
                </c:pt>
                <c:pt idx="105">
                  <c:v>44.278047770884356</c:v>
                </c:pt>
                <c:pt idx="106">
                  <c:v>44.278047770884356</c:v>
                </c:pt>
                <c:pt idx="107">
                  <c:v>44.278047770884356</c:v>
                </c:pt>
                <c:pt idx="108">
                  <c:v>44.278047770884363</c:v>
                </c:pt>
                <c:pt idx="109">
                  <c:v>44.278047770884356</c:v>
                </c:pt>
                <c:pt idx="110">
                  <c:v>44.278047770884356</c:v>
                </c:pt>
                <c:pt idx="111">
                  <c:v>44.278047770884356</c:v>
                </c:pt>
                <c:pt idx="112">
                  <c:v>44.278047770884363</c:v>
                </c:pt>
                <c:pt idx="113">
                  <c:v>44.278047770884356</c:v>
                </c:pt>
                <c:pt idx="114">
                  <c:v>44.278047770884356</c:v>
                </c:pt>
                <c:pt idx="115">
                  <c:v>44.278047770884356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396-4B08-A21E-5BEC2796A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000384"/>
        <c:axId val="153883392"/>
      </c:scatterChart>
      <c:valAx>
        <c:axId val="154000384"/>
        <c:scaling>
          <c:orientation val="minMax"/>
          <c:max val="3"/>
          <c:min val="0"/>
        </c:scaling>
        <c:delete val="0"/>
        <c:axPos val="b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53883392"/>
        <c:crosses val="autoZero"/>
        <c:crossBetween val="midCat"/>
      </c:valAx>
      <c:valAx>
        <c:axId val="153883392"/>
        <c:scaling>
          <c:orientation val="minMax"/>
          <c:max val="45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54000384"/>
        <c:crosses val="autoZero"/>
        <c:crossBetween val="midCat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3136760803085104"/>
          <c:y val="0.24817637795275591"/>
          <c:w val="0.17116071428571417"/>
          <c:h val="0.29501942257217845"/>
        </c:manualLayout>
      </c:layout>
      <c:overlay val="1"/>
      <c:spPr>
        <a:solidFill>
          <a:schemeClr val="bg1"/>
        </a:solidFill>
      </c:spPr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'Spettri x'!$AA$10</c:f>
          <c:strCache>
            <c:ptCount val="1"/>
            <c:pt idx="0">
              <c:v>Piazza Cairoli, Messina - spettri elastici, ag/g</c:v>
            </c:pt>
          </c:strCache>
        </c:strRef>
      </c:tx>
      <c:layout>
        <c:manualLayout>
          <c:xMode val="edge"/>
          <c:yMode val="edge"/>
          <c:x val="0.16933023997000374"/>
          <c:y val="1.7777777777777781E-2"/>
        </c:manualLayout>
      </c:layout>
      <c:overlay val="0"/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5"/>
          <c:order val="0"/>
          <c:tx>
            <c:v/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'Spettri x'!$AA$15:$AA$18</c:f>
              <c:numCache>
                <c:formatCode>General</c:formatCode>
                <c:ptCount val="4"/>
                <c:pt idx="0">
                  <c:v>0.61099999999999999</c:v>
                </c:pt>
                <c:pt idx="1">
                  <c:v>0.61099999999999999</c:v>
                </c:pt>
                <c:pt idx="2">
                  <c:v>0.61099999999999999</c:v>
                </c:pt>
                <c:pt idx="3">
                  <c:v>0.61099999999999999</c:v>
                </c:pt>
              </c:numCache>
            </c:numRef>
          </c:xVal>
          <c:yVal>
            <c:numRef>
              <c:f>'Spettri x'!$AB$15:$AB$18</c:f>
              <c:numCache>
                <c:formatCode>0.000</c:formatCode>
                <c:ptCount val="4"/>
                <c:pt idx="0">
                  <c:v>0.15815286613930676</c:v>
                </c:pt>
                <c:pt idx="1">
                  <c:v>0.21458445911663462</c:v>
                </c:pt>
                <c:pt idx="2">
                  <c:v>0.69895013179366716</c:v>
                </c:pt>
                <c:pt idx="3">
                  <c:v>0.90058030635901176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2D-42C0-9298-5AD259331E4C}"/>
            </c:ext>
          </c:extLst>
        </c:ser>
        <c:ser>
          <c:idx val="0"/>
          <c:order val="1"/>
          <c:tx>
            <c:v>SLC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'Spettri x'!$AY$15:$AY$140</c:f>
              <c:numCache>
                <c:formatCode>0.000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9.199860185971169E-2</c:v>
                </c:pt>
                <c:pt idx="3">
                  <c:v>0.18399720371942338</c:v>
                </c:pt>
                <c:pt idx="4">
                  <c:v>0.27599580557913506</c:v>
                </c:pt>
                <c:pt idx="5">
                  <c:v>0.3679944074388467</c:v>
                </c:pt>
                <c:pt idx="6">
                  <c:v>0.45999300929855835</c:v>
                </c:pt>
                <c:pt idx="7">
                  <c:v>0.55199161115827011</c:v>
                </c:pt>
                <c:pt idx="8">
                  <c:v>0.61209182087931335</c:v>
                </c:pt>
                <c:pt idx="9">
                  <c:v>0.67219203060035659</c:v>
                </c:pt>
                <c:pt idx="10">
                  <c:v>0.73229224032139983</c:v>
                </c:pt>
                <c:pt idx="11">
                  <c:v>0.79239245004244308</c:v>
                </c:pt>
                <c:pt idx="12">
                  <c:v>0.85249265976348632</c:v>
                </c:pt>
                <c:pt idx="13">
                  <c:v>0.91259286948452956</c:v>
                </c:pt>
                <c:pt idx="14">
                  <c:v>0.9726930792055728</c:v>
                </c:pt>
                <c:pt idx="15">
                  <c:v>1.032793288926616</c:v>
                </c:pt>
                <c:pt idx="16">
                  <c:v>1.0928934986476593</c:v>
                </c:pt>
                <c:pt idx="17">
                  <c:v>1.1529937083687025</c:v>
                </c:pt>
                <c:pt idx="18">
                  <c:v>1.2130939180897458</c:v>
                </c:pt>
                <c:pt idx="19">
                  <c:v>1.273194127810789</c:v>
                </c:pt>
                <c:pt idx="20">
                  <c:v>1.3332943375318322</c:v>
                </c:pt>
                <c:pt idx="21">
                  <c:v>1.3933945472528755</c:v>
                </c:pt>
                <c:pt idx="22">
                  <c:v>1.4534947569739187</c:v>
                </c:pt>
                <c:pt idx="23">
                  <c:v>1.513594966694962</c:v>
                </c:pt>
                <c:pt idx="24">
                  <c:v>1.5736951764160052</c:v>
                </c:pt>
                <c:pt idx="25">
                  <c:v>1.6337953861370484</c:v>
                </c:pt>
                <c:pt idx="26">
                  <c:v>1.6938955958580917</c:v>
                </c:pt>
                <c:pt idx="27">
                  <c:v>1.7539958055791351</c:v>
                </c:pt>
                <c:pt idx="28">
                  <c:v>1.7539958055791351</c:v>
                </c:pt>
                <c:pt idx="29">
                  <c:v>1.8140960153001784</c:v>
                </c:pt>
                <c:pt idx="30">
                  <c:v>1.8741962250212216</c:v>
                </c:pt>
                <c:pt idx="31">
                  <c:v>1.9342964347422649</c:v>
                </c:pt>
                <c:pt idx="32">
                  <c:v>1.9943966444633081</c:v>
                </c:pt>
                <c:pt idx="33">
                  <c:v>2.0544968541843516</c:v>
                </c:pt>
                <c:pt idx="34">
                  <c:v>2.114597063905395</c:v>
                </c:pt>
                <c:pt idx="35">
                  <c:v>2.1746972736264385</c:v>
                </c:pt>
                <c:pt idx="36">
                  <c:v>2.234797483347482</c:v>
                </c:pt>
                <c:pt idx="37">
                  <c:v>2.2948976930685254</c:v>
                </c:pt>
                <c:pt idx="38">
                  <c:v>2.3549979027895689</c:v>
                </c:pt>
                <c:pt idx="39">
                  <c:v>2.4150981125106123</c:v>
                </c:pt>
                <c:pt idx="40">
                  <c:v>2.4751983222316558</c:v>
                </c:pt>
                <c:pt idx="41">
                  <c:v>2.5352985319526993</c:v>
                </c:pt>
                <c:pt idx="42">
                  <c:v>2.5953987416737427</c:v>
                </c:pt>
                <c:pt idx="43">
                  <c:v>2.6554989513947862</c:v>
                </c:pt>
                <c:pt idx="44">
                  <c:v>2.7155991611158297</c:v>
                </c:pt>
                <c:pt idx="45">
                  <c:v>2.7756993708368731</c:v>
                </c:pt>
                <c:pt idx="46">
                  <c:v>2.8357995805579166</c:v>
                </c:pt>
                <c:pt idx="47">
                  <c:v>2.8958997902789601</c:v>
                </c:pt>
                <c:pt idx="48">
                  <c:v>2.9560000000000004</c:v>
                </c:pt>
                <c:pt idx="49">
                  <c:v>2.9582000000000006</c:v>
                </c:pt>
                <c:pt idx="50">
                  <c:v>2.9604000000000008</c:v>
                </c:pt>
                <c:pt idx="51">
                  <c:v>2.962600000000001</c:v>
                </c:pt>
                <c:pt idx="52">
                  <c:v>2.9648000000000012</c:v>
                </c:pt>
                <c:pt idx="53">
                  <c:v>2.9670000000000014</c:v>
                </c:pt>
                <c:pt idx="54">
                  <c:v>2.9692000000000016</c:v>
                </c:pt>
                <c:pt idx="55">
                  <c:v>2.9714000000000018</c:v>
                </c:pt>
                <c:pt idx="56">
                  <c:v>2.973600000000002</c:v>
                </c:pt>
                <c:pt idx="57">
                  <c:v>2.9758000000000022</c:v>
                </c:pt>
                <c:pt idx="58">
                  <c:v>2.9780000000000024</c:v>
                </c:pt>
                <c:pt idx="59">
                  <c:v>2.9802000000000026</c:v>
                </c:pt>
                <c:pt idx="60">
                  <c:v>2.9824000000000028</c:v>
                </c:pt>
                <c:pt idx="61">
                  <c:v>2.984600000000003</c:v>
                </c:pt>
                <c:pt idx="62">
                  <c:v>2.9868000000000032</c:v>
                </c:pt>
                <c:pt idx="63">
                  <c:v>2.9890000000000034</c:v>
                </c:pt>
                <c:pt idx="64">
                  <c:v>2.9912000000000036</c:v>
                </c:pt>
                <c:pt idx="65">
                  <c:v>2.9934000000000038</c:v>
                </c:pt>
                <c:pt idx="66">
                  <c:v>2.995600000000004</c:v>
                </c:pt>
                <c:pt idx="67">
                  <c:v>2.9978000000000042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  <c:pt idx="116">
                  <c:v>6.4</c:v>
                </c:pt>
                <c:pt idx="117">
                  <c:v>6.8</c:v>
                </c:pt>
                <c:pt idx="118">
                  <c:v>7.2</c:v>
                </c:pt>
                <c:pt idx="119">
                  <c:v>7.6</c:v>
                </c:pt>
                <c:pt idx="120">
                  <c:v>8</c:v>
                </c:pt>
                <c:pt idx="121">
                  <c:v>8.4</c:v>
                </c:pt>
                <c:pt idx="122">
                  <c:v>8.8000000000000007</c:v>
                </c:pt>
                <c:pt idx="123">
                  <c:v>9.1999999999999993</c:v>
                </c:pt>
                <c:pt idx="124">
                  <c:v>9.6</c:v>
                </c:pt>
                <c:pt idx="125">
                  <c:v>10</c:v>
                </c:pt>
              </c:numCache>
            </c:numRef>
          </c:xVal>
          <c:yVal>
            <c:numRef>
              <c:f>'Spettri x'!$BA$15:$BA$140</c:f>
              <c:numCache>
                <c:formatCode>0.0000</c:formatCode>
                <c:ptCount val="126"/>
                <c:pt idx="0">
                  <c:v>0.40771089300000007</c:v>
                </c:pt>
                <c:pt idx="1">
                  <c:v>0.40771089300000007</c:v>
                </c:pt>
                <c:pt idx="2">
                  <c:v>0.70228201319250005</c:v>
                </c:pt>
                <c:pt idx="3">
                  <c:v>0.99685313338500015</c:v>
                </c:pt>
                <c:pt idx="4">
                  <c:v>0.99685313338500015</c:v>
                </c:pt>
                <c:pt idx="5">
                  <c:v>0.99685313338500015</c:v>
                </c:pt>
                <c:pt idx="6">
                  <c:v>0.99685313338500015</c:v>
                </c:pt>
                <c:pt idx="7">
                  <c:v>0.99685313338500015</c:v>
                </c:pt>
                <c:pt idx="8">
                  <c:v>0.8989738931568737</c:v>
                </c:pt>
                <c:pt idx="9">
                  <c:v>0.81859727895599399</c:v>
                </c:pt>
                <c:pt idx="10">
                  <c:v>0.75141389856029583</c:v>
                </c:pt>
                <c:pt idx="11">
                  <c:v>0.69442176935921429</c:v>
                </c:pt>
                <c:pt idx="12">
                  <c:v>0.64546546047448383</c:v>
                </c:pt>
                <c:pt idx="13">
                  <c:v>0.60295733791582529</c:v>
                </c:pt>
                <c:pt idx="14">
                  <c:v>0.56570215101639798</c:v>
                </c:pt>
                <c:pt idx="15">
                  <c:v>0.53278286476593661</c:v>
                </c:pt>
                <c:pt idx="16">
                  <c:v>0.50348416187509426</c:v>
                </c:pt>
                <c:pt idx="17">
                  <c:v>0.47723986973344057</c:v>
                </c:pt>
                <c:pt idx="18">
                  <c:v>0.45359601509818781</c:v>
                </c:pt>
                <c:pt idx="19">
                  <c:v>0.43218434264341044</c:v>
                </c:pt>
                <c:pt idx="20">
                  <c:v>0.41270299565209012</c:v>
                </c:pt>
                <c:pt idx="21">
                  <c:v>0.39490219641680213</c:v>
                </c:pt>
                <c:pt idx="22">
                  <c:v>0.37857347922668139</c:v>
                </c:pt>
                <c:pt idx="23">
                  <c:v>0.3635414885045995</c:v>
                </c:pt>
                <c:pt idx="24">
                  <c:v>0.3496576563439226</c:v>
                </c:pt>
                <c:pt idx="25">
                  <c:v>0.33679527550042848</c:v>
                </c:pt>
                <c:pt idx="26">
                  <c:v>0.32484562125956107</c:v>
                </c:pt>
                <c:pt idx="27">
                  <c:v>0.31371487060293901</c:v>
                </c:pt>
                <c:pt idx="28">
                  <c:v>0.31371487060293901</c:v>
                </c:pt>
                <c:pt idx="29">
                  <c:v>0.30332163377488347</c:v>
                </c:pt>
                <c:pt idx="30">
                  <c:v>0.29359496078332226</c:v>
                </c:pt>
                <c:pt idx="31">
                  <c:v>0.28447271953880987</c:v>
                </c:pt>
                <c:pt idx="32">
                  <c:v>0.27590026723767858</c:v>
                </c:pt>
                <c:pt idx="33">
                  <c:v>0.26782935494141252</c:v>
                </c:pt>
                <c:pt idx="34">
                  <c:v>0.26021721895759425</c:v>
                </c:pt>
                <c:pt idx="35">
                  <c:v>0.25302582288511982</c:v>
                </c:pt>
                <c:pt idx="36">
                  <c:v>0.24622122196107679</c:v>
                </c:pt>
                <c:pt idx="37">
                  <c:v>0.23977302728890129</c:v>
                </c:pt>
                <c:pt idx="38">
                  <c:v>0.23365395210482454</c:v>
                </c:pt>
                <c:pt idx="39">
                  <c:v>0.22783942579183239</c:v>
                </c:pt>
                <c:pt idx="40">
                  <c:v>0.22230726412631163</c:v>
                </c:pt>
                <c:pt idx="41">
                  <c:v>0.21703738642626333</c:v>
                </c:pt>
                <c:pt idx="42">
                  <c:v>0.21201157199856824</c:v>
                </c:pt>
                <c:pt idx="43">
                  <c:v>0.20721324965929208</c:v>
                </c:pt>
                <c:pt idx="44">
                  <c:v>0.20262731520334487</c:v>
                </c:pt>
                <c:pt idx="45">
                  <c:v>0.1982399725873247</c:v>
                </c:pt>
                <c:pt idx="46">
                  <c:v>0.19403859530760589</c:v>
                </c:pt>
                <c:pt idx="47">
                  <c:v>0.19001160503981063</c:v>
                </c:pt>
                <c:pt idx="48">
                  <c:v>0.18614836508300273</c:v>
                </c:pt>
                <c:pt idx="49">
                  <c:v>0.18587159263914296</c:v>
                </c:pt>
                <c:pt idx="50">
                  <c:v>0.18559543701034079</c:v>
                </c:pt>
                <c:pt idx="51">
                  <c:v>0.18531989636511145</c:v>
                </c:pt>
                <c:pt idx="52">
                  <c:v>0.18504496887876301</c:v>
                </c:pt>
                <c:pt idx="53">
                  <c:v>0.18477065273336568</c:v>
                </c:pt>
                <c:pt idx="54">
                  <c:v>0.18449694611772235</c:v>
                </c:pt>
                <c:pt idx="55">
                  <c:v>0.18422384722733826</c:v>
                </c:pt>
                <c:pt idx="56">
                  <c:v>0.18395135426439138</c:v>
                </c:pt>
                <c:pt idx="57">
                  <c:v>0.18367946543770289</c:v>
                </c:pt>
                <c:pt idx="58">
                  <c:v>0.18340817896270775</c:v>
                </c:pt>
                <c:pt idx="59">
                  <c:v>0.18313749306142532</c:v>
                </c:pt>
                <c:pt idx="60">
                  <c:v>0.18286740596243017</c:v>
                </c:pt>
                <c:pt idx="61">
                  <c:v>0.18259791590082344</c:v>
                </c:pt>
                <c:pt idx="62">
                  <c:v>0.18232902111820351</c:v>
                </c:pt>
                <c:pt idx="63">
                  <c:v>0.18206071986263778</c:v>
                </c:pt>
                <c:pt idx="64">
                  <c:v>0.18179301038863382</c:v>
                </c:pt>
                <c:pt idx="65">
                  <c:v>0.18152589095711116</c:v>
                </c:pt>
                <c:pt idx="66">
                  <c:v>0.18125935983537292</c:v>
                </c:pt>
                <c:pt idx="67">
                  <c:v>0.18099341529707774</c:v>
                </c:pt>
                <c:pt idx="68">
                  <c:v>0.18072805562221256</c:v>
                </c:pt>
                <c:pt idx="69">
                  <c:v>0.18072805562221256</c:v>
                </c:pt>
                <c:pt idx="70">
                  <c:v>0.18072805562221256</c:v>
                </c:pt>
                <c:pt idx="71">
                  <c:v>0.18072805562221256</c:v>
                </c:pt>
                <c:pt idx="72">
                  <c:v>0.18072805562221256</c:v>
                </c:pt>
                <c:pt idx="73">
                  <c:v>0.18072805562221256</c:v>
                </c:pt>
                <c:pt idx="74">
                  <c:v>0.18072805562221256</c:v>
                </c:pt>
                <c:pt idx="75">
                  <c:v>0.18072805562221256</c:v>
                </c:pt>
                <c:pt idx="76">
                  <c:v>0.18072805562221256</c:v>
                </c:pt>
                <c:pt idx="77">
                  <c:v>0.18072805562221256</c:v>
                </c:pt>
                <c:pt idx="78">
                  <c:v>0.18072805562221256</c:v>
                </c:pt>
                <c:pt idx="79">
                  <c:v>0.18072805562221256</c:v>
                </c:pt>
                <c:pt idx="80">
                  <c:v>0.18072805562221256</c:v>
                </c:pt>
                <c:pt idx="81">
                  <c:v>0.18072805562221256</c:v>
                </c:pt>
                <c:pt idx="82">
                  <c:v>0.18072805562221256</c:v>
                </c:pt>
                <c:pt idx="83">
                  <c:v>0.18072805562221256</c:v>
                </c:pt>
                <c:pt idx="84">
                  <c:v>0.18072805562221256</c:v>
                </c:pt>
                <c:pt idx="85">
                  <c:v>0.18072805562221256</c:v>
                </c:pt>
                <c:pt idx="86">
                  <c:v>0.18072805562221256</c:v>
                </c:pt>
                <c:pt idx="87">
                  <c:v>0.18072805562221256</c:v>
                </c:pt>
                <c:pt idx="88">
                  <c:v>0.18072805562221256</c:v>
                </c:pt>
                <c:pt idx="89">
                  <c:v>0.18072805562221256</c:v>
                </c:pt>
                <c:pt idx="90">
                  <c:v>0.16758870452759356</c:v>
                </c:pt>
                <c:pt idx="91">
                  <c:v>0.15583184387833632</c:v>
                </c:pt>
                <c:pt idx="92">
                  <c:v>0.14527011367492945</c:v>
                </c:pt>
                <c:pt idx="93">
                  <c:v>0.13574685066735076</c:v>
                </c:pt>
                <c:pt idx="94">
                  <c:v>0.12713024516193097</c:v>
                </c:pt>
                <c:pt idx="95">
                  <c:v>0.11930875546935124</c:v>
                </c:pt>
                <c:pt idx="96">
                  <c:v>0.11218747989037252</c:v>
                </c:pt>
                <c:pt idx="97">
                  <c:v>0.10568526436039419</c:v>
                </c:pt>
                <c:pt idx="98">
                  <c:v>9.9732380082135266E-2</c:v>
                </c:pt>
                <c:pt idx="99">
                  <c:v>9.4268646296771383E-2</c:v>
                </c:pt>
                <c:pt idx="100">
                  <c:v>8.924190328752063E-2</c:v>
                </c:pt>
                <c:pt idx="101">
                  <c:v>8.4606762881312858E-2</c:v>
                </c:pt>
                <c:pt idx="102">
                  <c:v>8.0323580276538978E-2</c:v>
                </c:pt>
                <c:pt idx="103">
                  <c:v>7.6357603500384882E-2</c:v>
                </c:pt>
                <c:pt idx="104">
                  <c:v>7.2678266270443673E-2</c:v>
                </c:pt>
                <c:pt idx="105">
                  <c:v>6.9258597279260689E-2</c:v>
                </c:pt>
                <c:pt idx="106">
                  <c:v>6.6074724500062659E-2</c:v>
                </c:pt>
                <c:pt idx="107">
                  <c:v>6.310545743833465E-2</c:v>
                </c:pt>
                <c:pt idx="108">
                  <c:v>6.0331933629933776E-2</c:v>
                </c:pt>
                <c:pt idx="109">
                  <c:v>5.7737318336775006E-2</c:v>
                </c:pt>
                <c:pt idx="110">
                  <c:v>5.5306548483755505E-2</c:v>
                </c:pt>
                <c:pt idx="111">
                  <c:v>5.3026113541933997E-2</c:v>
                </c:pt>
                <c:pt idx="112">
                  <c:v>5.0883867388844622E-2</c:v>
                </c:pt>
                <c:pt idx="113">
                  <c:v>4.8868866240246382E-2</c:v>
                </c:pt>
                <c:pt idx="114">
                  <c:v>4.6971228604619747E-2</c:v>
                </c:pt>
                <c:pt idx="115">
                  <c:v>4.5182013905553139E-2</c:v>
                </c:pt>
                <c:pt idx="116">
                  <c:v>3.7363840702786491E-2</c:v>
                </c:pt>
                <c:pt idx="117">
                  <c:v>3.1018454363589031E-2</c:v>
                </c:pt>
                <c:pt idx="118">
                  <c:v>2.5813343834077518E-2</c:v>
                </c:pt>
                <c:pt idx="119">
                  <c:v>2.1503361477576192E-2</c:v>
                </c:pt>
                <c:pt idx="120">
                  <c:v>1.7904758961422226E-2</c:v>
                </c:pt>
                <c:pt idx="121">
                  <c:v>1.4877763437035773E-2</c:v>
                </c:pt>
                <c:pt idx="122">
                  <c:v>1.2314635882017901E-2</c:v>
                </c:pt>
                <c:pt idx="123">
                  <c:v>1.0131330544537909E-2</c:v>
                </c:pt>
                <c:pt idx="124">
                  <c:v>8.2615693562924294E-3</c:v>
                </c:pt>
                <c:pt idx="125">
                  <c:v>6.6525664646213201E-3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D2D-42C0-9298-5AD259331E4C}"/>
            </c:ext>
          </c:extLst>
        </c:ser>
        <c:ser>
          <c:idx val="1"/>
          <c:order val="2"/>
          <c:tx>
            <c:v>SLV</c:v>
          </c:tx>
          <c:spPr>
            <a:ln w="19050"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'Spettri x'!$AU$15:$AU$140</c:f>
              <c:numCache>
                <c:formatCode>0.000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8.8259349900035824E-2</c:v>
                </c:pt>
                <c:pt idx="3">
                  <c:v>0.17651869980007165</c:v>
                </c:pt>
                <c:pt idx="4">
                  <c:v>0.26477804970010749</c:v>
                </c:pt>
                <c:pt idx="5">
                  <c:v>0.35303739960014335</c:v>
                </c:pt>
                <c:pt idx="6">
                  <c:v>0.44129674950017916</c:v>
                </c:pt>
                <c:pt idx="7">
                  <c:v>0.52955609940021497</c:v>
                </c:pt>
                <c:pt idx="8">
                  <c:v>0.58131719691520956</c:v>
                </c:pt>
                <c:pt idx="9">
                  <c:v>0.63307829443020414</c:v>
                </c:pt>
                <c:pt idx="10">
                  <c:v>0.68483939194519872</c:v>
                </c:pt>
                <c:pt idx="11">
                  <c:v>0.7366004894601933</c:v>
                </c:pt>
                <c:pt idx="12">
                  <c:v>0.78836158697518788</c:v>
                </c:pt>
                <c:pt idx="13">
                  <c:v>0.84012268449018246</c:v>
                </c:pt>
                <c:pt idx="14">
                  <c:v>0.89188378200517704</c:v>
                </c:pt>
                <c:pt idx="15">
                  <c:v>0.94364487952017162</c:v>
                </c:pt>
                <c:pt idx="16">
                  <c:v>0.9954059770351662</c:v>
                </c:pt>
                <c:pt idx="17">
                  <c:v>1.0471670745501609</c:v>
                </c:pt>
                <c:pt idx="18">
                  <c:v>1.0989281720651556</c:v>
                </c:pt>
                <c:pt idx="19">
                  <c:v>1.1506892695801503</c:v>
                </c:pt>
                <c:pt idx="20">
                  <c:v>1.202450367095145</c:v>
                </c:pt>
                <c:pt idx="21">
                  <c:v>1.2542114646101397</c:v>
                </c:pt>
                <c:pt idx="22">
                  <c:v>1.3059725621251344</c:v>
                </c:pt>
                <c:pt idx="23">
                  <c:v>1.357733659640129</c:v>
                </c:pt>
                <c:pt idx="24">
                  <c:v>1.4094947571551237</c:v>
                </c:pt>
                <c:pt idx="25">
                  <c:v>1.4612558546701184</c:v>
                </c:pt>
                <c:pt idx="26">
                  <c:v>1.5130169521851131</c:v>
                </c:pt>
                <c:pt idx="27">
                  <c:v>1.5647780497001076</c:v>
                </c:pt>
                <c:pt idx="28">
                  <c:v>1.5647780497001076</c:v>
                </c:pt>
                <c:pt idx="29">
                  <c:v>1.6165391472151023</c:v>
                </c:pt>
                <c:pt idx="30">
                  <c:v>1.668300244730097</c:v>
                </c:pt>
                <c:pt idx="31">
                  <c:v>1.7200613422450917</c:v>
                </c:pt>
                <c:pt idx="32">
                  <c:v>1.7718224397600864</c:v>
                </c:pt>
                <c:pt idx="33">
                  <c:v>1.823583537275081</c:v>
                </c:pt>
                <c:pt idx="34">
                  <c:v>1.8753446347900757</c:v>
                </c:pt>
                <c:pt idx="35">
                  <c:v>1.9271057323050704</c:v>
                </c:pt>
                <c:pt idx="36">
                  <c:v>1.9788668298200651</c:v>
                </c:pt>
                <c:pt idx="37">
                  <c:v>2.0306279273350598</c:v>
                </c:pt>
                <c:pt idx="38">
                  <c:v>2.0823890248500545</c:v>
                </c:pt>
                <c:pt idx="39">
                  <c:v>2.1341501223650492</c:v>
                </c:pt>
                <c:pt idx="40">
                  <c:v>2.1859112198800439</c:v>
                </c:pt>
                <c:pt idx="41">
                  <c:v>2.2376723173950386</c:v>
                </c:pt>
                <c:pt idx="42">
                  <c:v>2.2894334149100333</c:v>
                </c:pt>
                <c:pt idx="43">
                  <c:v>2.341194512425028</c:v>
                </c:pt>
                <c:pt idx="44">
                  <c:v>2.3929556099400227</c:v>
                </c:pt>
                <c:pt idx="45">
                  <c:v>2.4447167074550173</c:v>
                </c:pt>
                <c:pt idx="46">
                  <c:v>2.496477804970012</c:v>
                </c:pt>
                <c:pt idx="47">
                  <c:v>2.5482389024850067</c:v>
                </c:pt>
                <c:pt idx="48">
                  <c:v>2.6</c:v>
                </c:pt>
                <c:pt idx="49">
                  <c:v>2.62</c:v>
                </c:pt>
                <c:pt idx="50">
                  <c:v>2.64</c:v>
                </c:pt>
                <c:pt idx="51">
                  <c:v>2.66</c:v>
                </c:pt>
                <c:pt idx="52">
                  <c:v>2.68</c:v>
                </c:pt>
                <c:pt idx="53">
                  <c:v>2.7</c:v>
                </c:pt>
                <c:pt idx="54">
                  <c:v>2.72</c:v>
                </c:pt>
                <c:pt idx="55">
                  <c:v>2.74</c:v>
                </c:pt>
                <c:pt idx="56">
                  <c:v>2.7600000000000002</c:v>
                </c:pt>
                <c:pt idx="57">
                  <c:v>2.7800000000000002</c:v>
                </c:pt>
                <c:pt idx="58">
                  <c:v>2.8000000000000003</c:v>
                </c:pt>
                <c:pt idx="59">
                  <c:v>2.8200000000000003</c:v>
                </c:pt>
                <c:pt idx="60">
                  <c:v>2.8400000000000003</c:v>
                </c:pt>
                <c:pt idx="61">
                  <c:v>2.8600000000000003</c:v>
                </c:pt>
                <c:pt idx="62">
                  <c:v>2.8800000000000003</c:v>
                </c:pt>
                <c:pt idx="63">
                  <c:v>2.9000000000000004</c:v>
                </c:pt>
                <c:pt idx="64">
                  <c:v>2.9200000000000004</c:v>
                </c:pt>
                <c:pt idx="65">
                  <c:v>2.9400000000000004</c:v>
                </c:pt>
                <c:pt idx="66">
                  <c:v>2.9600000000000004</c:v>
                </c:pt>
                <c:pt idx="67">
                  <c:v>2.9800000000000004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  <c:pt idx="116">
                  <c:v>6.4</c:v>
                </c:pt>
                <c:pt idx="117">
                  <c:v>6.8</c:v>
                </c:pt>
                <c:pt idx="118">
                  <c:v>7.2</c:v>
                </c:pt>
                <c:pt idx="119">
                  <c:v>7.6</c:v>
                </c:pt>
                <c:pt idx="120">
                  <c:v>8</c:v>
                </c:pt>
                <c:pt idx="121">
                  <c:v>8.4</c:v>
                </c:pt>
                <c:pt idx="122">
                  <c:v>8.8000000000000007</c:v>
                </c:pt>
                <c:pt idx="123">
                  <c:v>9.1999999999999993</c:v>
                </c:pt>
                <c:pt idx="124">
                  <c:v>9.6</c:v>
                </c:pt>
                <c:pt idx="125">
                  <c:v>10</c:v>
                </c:pt>
              </c:numCache>
            </c:numRef>
          </c:xVal>
          <c:yVal>
            <c:numRef>
              <c:f>'Spettri x'!$AW$15:$AW$140</c:f>
              <c:numCache>
                <c:formatCode>0.0000</c:formatCode>
                <c:ptCount val="126"/>
                <c:pt idx="0">
                  <c:v>0.33462500000000001</c:v>
                </c:pt>
                <c:pt idx="1">
                  <c:v>0.33462500000000001</c:v>
                </c:pt>
                <c:pt idx="2">
                  <c:v>0.57053562499999999</c:v>
                </c:pt>
                <c:pt idx="3">
                  <c:v>0.80644625000000003</c:v>
                </c:pt>
                <c:pt idx="4">
                  <c:v>0.80644625000000003</c:v>
                </c:pt>
                <c:pt idx="5">
                  <c:v>0.80644625000000003</c:v>
                </c:pt>
                <c:pt idx="6">
                  <c:v>0.80644625000000003</c:v>
                </c:pt>
                <c:pt idx="7">
                  <c:v>0.80644625000000003</c:v>
                </c:pt>
                <c:pt idx="8">
                  <c:v>0.73463942369525503</c:v>
                </c:pt>
                <c:pt idx="9">
                  <c:v>0.67457458940414383</c:v>
                </c:pt>
                <c:pt idx="10">
                  <c:v>0.62358931969863107</c:v>
                </c:pt>
                <c:pt idx="11">
                  <c:v>0.57976954487078081</c:v>
                </c:pt>
                <c:pt idx="12">
                  <c:v>0.54170388002348402</c:v>
                </c:pt>
                <c:pt idx="13">
                  <c:v>0.50832876960712658</c:v>
                </c:pt>
                <c:pt idx="14">
                  <c:v>0.47882755482535694</c:v>
                </c:pt>
                <c:pt idx="15">
                  <c:v>0.45256275935400941</c:v>
                </c:pt>
                <c:pt idx="16">
                  <c:v>0.42902950191029776</c:v>
                </c:pt>
                <c:pt idx="17">
                  <c:v>0.40782272562321081</c:v>
                </c:pt>
                <c:pt idx="18">
                  <c:v>0.38861368866664225</c:v>
                </c:pt>
                <c:pt idx="19">
                  <c:v>0.37113279997974657</c:v>
                </c:pt>
                <c:pt idx="20">
                  <c:v>0.35515688814467239</c:v>
                </c:pt>
                <c:pt idx="21">
                  <c:v>0.34049962273202306</c:v>
                </c:pt>
                <c:pt idx="22">
                  <c:v>0.3270042134966471</c:v>
                </c:pt>
                <c:pt idx="23">
                  <c:v>0.31453777955178902</c:v>
                </c:pt>
                <c:pt idx="24">
                  <c:v>0.30298695923345687</c:v>
                </c:pt>
                <c:pt idx="25">
                  <c:v>0.29225445301797609</c:v>
                </c:pt>
                <c:pt idx="26">
                  <c:v>0.28225627605108372</c:v>
                </c:pt>
                <c:pt idx="27">
                  <c:v>0.2729195559765023</c:v>
                </c:pt>
                <c:pt idx="28">
                  <c:v>0.2729195559765023</c:v>
                </c:pt>
                <c:pt idx="29">
                  <c:v>0.26418075384171613</c:v>
                </c:pt>
                <c:pt idx="30">
                  <c:v>0.25598421619546158</c:v>
                </c:pt>
                <c:pt idx="31">
                  <c:v>0.24828098861202069</c:v>
                </c:pt>
                <c:pt idx="32">
                  <c:v>0.24102783718201271</c:v>
                </c:pt>
                <c:pt idx="33">
                  <c:v>0.23418643664883579</c:v>
                </c:pt>
                <c:pt idx="34">
                  <c:v>0.2277226929938321</c:v>
                </c:pt>
                <c:pt idx="35">
                  <c:v>0.22160617519159823</c:v>
                </c:pt>
                <c:pt idx="36">
                  <c:v>0.21580963614654267</c:v>
                </c:pt>
                <c:pt idx="37">
                  <c:v>0.2103086068979611</c:v>
                </c:pt>
                <c:pt idx="38">
                  <c:v>0.20508105134518831</c:v>
                </c:pt>
                <c:pt idx="39">
                  <c:v>0.20010707121796453</c:v>
                </c:pt>
                <c:pt idx="40">
                  <c:v>0.19536865296357567</c:v>
                </c:pt>
                <c:pt idx="41">
                  <c:v>0.19084944976353199</c:v>
                </c:pt>
                <c:pt idx="42">
                  <c:v>0.18653459312015525</c:v>
                </c:pt>
                <c:pt idx="43">
                  <c:v>0.18241052943677882</c:v>
                </c:pt>
                <c:pt idx="44">
                  <c:v>0.17846487780717105</c:v>
                </c:pt>
                <c:pt idx="45">
                  <c:v>0.17468630587079526</c:v>
                </c:pt>
                <c:pt idx="46">
                  <c:v>0.1710644211119115</c:v>
                </c:pt>
                <c:pt idx="47">
                  <c:v>0.16758967540659911</c:v>
                </c:pt>
                <c:pt idx="48">
                  <c:v>0.16425328097151176</c:v>
                </c:pt>
                <c:pt idx="49">
                  <c:v>0.16175516860430911</c:v>
                </c:pt>
                <c:pt idx="50">
                  <c:v>0.15931361618563755</c:v>
                </c:pt>
                <c:pt idx="51">
                  <c:v>0.15692692907561473</c:v>
                </c:pt>
                <c:pt idx="52">
                  <c:v>0.15459347563034911</c:v>
                </c:pt>
                <c:pt idx="53">
                  <c:v>0.15231168441254039</c:v>
                </c:pt>
                <c:pt idx="54">
                  <c:v>0.15008004154512047</c:v>
                </c:pt>
                <c:pt idx="55">
                  <c:v>0.14789708819961364</c:v>
                </c:pt>
                <c:pt idx="56">
                  <c:v>0.14576141821143396</c:v>
                </c:pt>
                <c:pt idx="57">
                  <c:v>0.14367167581484128</c:v>
                </c:pt>
                <c:pt idx="58">
                  <c:v>0.14162655349074227</c:v>
                </c:pt>
                <c:pt idx="59">
                  <c:v>0.13962478992095712</c:v>
                </c:pt>
                <c:pt idx="60">
                  <c:v>0.13766516804297502</c:v>
                </c:pt>
                <c:pt idx="61">
                  <c:v>0.13574651319959646</c:v>
                </c:pt>
                <c:pt idx="62">
                  <c:v>0.13386769137820934</c:v>
                </c:pt>
                <c:pt idx="63">
                  <c:v>0.13202760753477044</c:v>
                </c:pt>
                <c:pt idx="64">
                  <c:v>0.13022520399786772</c:v>
                </c:pt>
                <c:pt idx="65">
                  <c:v>0.12845945894851904</c:v>
                </c:pt>
                <c:pt idx="66">
                  <c:v>0.12672938497162839</c:v>
                </c:pt>
                <c:pt idx="67">
                  <c:v>0.12503402767526453</c:v>
                </c:pt>
                <c:pt idx="68">
                  <c:v>0.12337246437415773</c:v>
                </c:pt>
                <c:pt idx="69">
                  <c:v>0.12337246437415773</c:v>
                </c:pt>
                <c:pt idx="70">
                  <c:v>0.12337246437415773</c:v>
                </c:pt>
                <c:pt idx="71">
                  <c:v>0.12337246437415773</c:v>
                </c:pt>
                <c:pt idx="72">
                  <c:v>0.12337246437415773</c:v>
                </c:pt>
                <c:pt idx="73">
                  <c:v>0.12337246437415773</c:v>
                </c:pt>
                <c:pt idx="74">
                  <c:v>0.12337246437415773</c:v>
                </c:pt>
                <c:pt idx="75">
                  <c:v>0.12337246437415773</c:v>
                </c:pt>
                <c:pt idx="76">
                  <c:v>0.12337246437415773</c:v>
                </c:pt>
                <c:pt idx="77">
                  <c:v>0.12337246437415773</c:v>
                </c:pt>
                <c:pt idx="78">
                  <c:v>0.12337246437415773</c:v>
                </c:pt>
                <c:pt idx="79">
                  <c:v>0.12337246437415773</c:v>
                </c:pt>
                <c:pt idx="80">
                  <c:v>0.12337246437415773</c:v>
                </c:pt>
                <c:pt idx="81">
                  <c:v>0.12337246437415773</c:v>
                </c:pt>
                <c:pt idx="82">
                  <c:v>0.12337246437415773</c:v>
                </c:pt>
                <c:pt idx="83">
                  <c:v>0.12337246437415773</c:v>
                </c:pt>
                <c:pt idx="84">
                  <c:v>0.12337246437415773</c:v>
                </c:pt>
                <c:pt idx="85">
                  <c:v>0.12337246437415773</c:v>
                </c:pt>
                <c:pt idx="86">
                  <c:v>0.12337246437415773</c:v>
                </c:pt>
                <c:pt idx="87">
                  <c:v>0.12337246437415773</c:v>
                </c:pt>
                <c:pt idx="88">
                  <c:v>0.12337246437415773</c:v>
                </c:pt>
                <c:pt idx="89">
                  <c:v>0.12337246437415773</c:v>
                </c:pt>
                <c:pt idx="90">
                  <c:v>0.11440299851430813</c:v>
                </c:pt>
                <c:pt idx="91">
                  <c:v>0.10637727795526865</c:v>
                </c:pt>
                <c:pt idx="92">
                  <c:v>9.9167402992783135E-2</c:v>
                </c:pt>
                <c:pt idx="93">
                  <c:v>9.2666428796589581E-2</c:v>
                </c:pt>
                <c:pt idx="94">
                  <c:v>8.6784376604506358E-2</c:v>
                </c:pt>
                <c:pt idx="95">
                  <c:v>8.144510343450255E-2</c:v>
                </c:pt>
                <c:pt idx="96">
                  <c:v>7.6583825451726928E-2</c:v>
                </c:pt>
                <c:pt idx="97">
                  <c:v>7.2145143526756592E-2</c:v>
                </c:pt>
                <c:pt idx="98">
                  <c:v>6.8081457891371946E-2</c:v>
                </c:pt>
                <c:pt idx="99">
                  <c:v>6.435168666429833E-2</c:v>
                </c:pt>
                <c:pt idx="100">
                  <c:v>6.0920223460139269E-2</c:v>
                </c:pt>
                <c:pt idx="101">
                  <c:v>5.7756084430007397E-2</c:v>
                </c:pt>
                <c:pt idx="102">
                  <c:v>5.4832206388514583E-2</c:v>
                </c:pt>
                <c:pt idx="103">
                  <c:v>5.2124866198081689E-2</c:v>
                </c:pt>
                <c:pt idx="104">
                  <c:v>4.9613198046954618E-2</c:v>
                </c:pt>
                <c:pt idx="105">
                  <c:v>4.7278790202341686E-2</c:v>
                </c:pt>
                <c:pt idx="106">
                  <c:v>4.5105346628951187E-2</c:v>
                </c:pt>
                <c:pt idx="107">
                  <c:v>4.3078401816596459E-2</c:v>
                </c:pt>
                <c:pt idx="108">
                  <c:v>4.1185079465150994E-2</c:v>
                </c:pt>
                <c:pt idx="109">
                  <c:v>3.9413887484371822E-2</c:v>
                </c:pt>
                <c:pt idx="110">
                  <c:v>3.7754543194626879E-2</c:v>
                </c:pt>
                <c:pt idx="111">
                  <c:v>3.6197823748667875E-2</c:v>
                </c:pt>
                <c:pt idx="112">
                  <c:v>3.4735437699679635E-2</c:v>
                </c:pt>
                <c:pt idx="113">
                  <c:v>3.3359914366772325E-2</c:v>
                </c:pt>
                <c:pt idx="114">
                  <c:v>3.2064508234114115E-2</c:v>
                </c:pt>
                <c:pt idx="115">
                  <c:v>3.0843116093539433E-2</c:v>
                </c:pt>
                <c:pt idx="116">
                  <c:v>2.5522208641815061E-2</c:v>
                </c:pt>
                <c:pt idx="117">
                  <c:v>2.1203009354889061E-2</c:v>
                </c:pt>
                <c:pt idx="118">
                  <c:v>1.7659425909942045E-2</c:v>
                </c:pt>
                <c:pt idx="119">
                  <c:v>1.4724759795234082E-2</c:v>
                </c:pt>
                <c:pt idx="120">
                  <c:v>1.2274056443344466E-2</c:v>
                </c:pt>
                <c:pt idx="121">
                  <c:v>1.0212260473006959E-2</c:v>
                </c:pt>
                <c:pt idx="122">
                  <c:v>8.4660974377156022E-3</c:v>
                </c:pt>
                <c:pt idx="123">
                  <c:v>6.9784034992677428E-3</c:v>
                </c:pt>
                <c:pt idx="124">
                  <c:v>5.7040967749495113E-3</c:v>
                </c:pt>
                <c:pt idx="125">
                  <c:v>4.6072704538067197E-3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D2D-42C0-9298-5AD259331E4C}"/>
            </c:ext>
          </c:extLst>
        </c:ser>
        <c:ser>
          <c:idx val="2"/>
          <c:order val="3"/>
          <c:tx>
            <c:v>SLD</c:v>
          </c:tx>
          <c:spPr>
            <a:ln w="12700"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'Spettri x'!$AQ$15:$AQ$140</c:f>
              <c:numCache>
                <c:formatCode>0.000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7.6708688772966063E-2</c:v>
                </c:pt>
                <c:pt idx="3">
                  <c:v>0.15341737754593213</c:v>
                </c:pt>
                <c:pt idx="4">
                  <c:v>0.23012606631889818</c:v>
                </c:pt>
                <c:pt idx="5">
                  <c:v>0.3068347550918642</c:v>
                </c:pt>
                <c:pt idx="6">
                  <c:v>0.38354344386483025</c:v>
                </c:pt>
                <c:pt idx="7">
                  <c:v>0.46025213263779635</c:v>
                </c:pt>
                <c:pt idx="8">
                  <c:v>0.49694582932185144</c:v>
                </c:pt>
                <c:pt idx="9">
                  <c:v>0.53363952600590658</c:v>
                </c:pt>
                <c:pt idx="10">
                  <c:v>0.57033322268996167</c:v>
                </c:pt>
                <c:pt idx="11">
                  <c:v>0.60702691937401676</c:v>
                </c:pt>
                <c:pt idx="12">
                  <c:v>0.64372061605807185</c:v>
                </c:pt>
                <c:pt idx="13">
                  <c:v>0.68041431274212694</c:v>
                </c:pt>
                <c:pt idx="14">
                  <c:v>0.71710800942618202</c:v>
                </c:pt>
                <c:pt idx="15">
                  <c:v>0.75380170611023711</c:v>
                </c:pt>
                <c:pt idx="16">
                  <c:v>0.7904954027942922</c:v>
                </c:pt>
                <c:pt idx="17">
                  <c:v>0.82718909947834729</c:v>
                </c:pt>
                <c:pt idx="18">
                  <c:v>0.86388279616240238</c:v>
                </c:pt>
                <c:pt idx="19">
                  <c:v>0.90057649284645747</c:v>
                </c:pt>
                <c:pt idx="20">
                  <c:v>0.93727018953051255</c:v>
                </c:pt>
                <c:pt idx="21">
                  <c:v>0.97396388621456764</c:v>
                </c:pt>
                <c:pt idx="22">
                  <c:v>1.0106575828986228</c:v>
                </c:pt>
                <c:pt idx="23">
                  <c:v>1.0473512795826778</c:v>
                </c:pt>
                <c:pt idx="24">
                  <c:v>1.0840449762667328</c:v>
                </c:pt>
                <c:pt idx="25">
                  <c:v>1.1207386729507878</c:v>
                </c:pt>
                <c:pt idx="26">
                  <c:v>1.1574323696348428</c:v>
                </c:pt>
                <c:pt idx="27">
                  <c:v>1.1941260663188982</c:v>
                </c:pt>
                <c:pt idx="28">
                  <c:v>1.1941260663188982</c:v>
                </c:pt>
                <c:pt idx="29">
                  <c:v>1.2308197630029534</c:v>
                </c:pt>
                <c:pt idx="30">
                  <c:v>1.2675134596870086</c:v>
                </c:pt>
                <c:pt idx="31">
                  <c:v>1.3042071563710638</c:v>
                </c:pt>
                <c:pt idx="32">
                  <c:v>1.340900853055119</c:v>
                </c:pt>
                <c:pt idx="33">
                  <c:v>1.3775945497391742</c:v>
                </c:pt>
                <c:pt idx="34">
                  <c:v>1.4142882464232294</c:v>
                </c:pt>
                <c:pt idx="35">
                  <c:v>1.4509819431072846</c:v>
                </c:pt>
                <c:pt idx="36">
                  <c:v>1.4876756397913398</c:v>
                </c:pt>
                <c:pt idx="37">
                  <c:v>1.524369336475395</c:v>
                </c:pt>
                <c:pt idx="38">
                  <c:v>1.5610630331594502</c:v>
                </c:pt>
                <c:pt idx="39">
                  <c:v>1.5977567298435054</c:v>
                </c:pt>
                <c:pt idx="40">
                  <c:v>1.6344504265275606</c:v>
                </c:pt>
                <c:pt idx="41">
                  <c:v>1.6711441232116158</c:v>
                </c:pt>
                <c:pt idx="42">
                  <c:v>1.707837819895671</c:v>
                </c:pt>
                <c:pt idx="43">
                  <c:v>1.7445315165797262</c:v>
                </c:pt>
                <c:pt idx="44">
                  <c:v>1.7812252132637814</c:v>
                </c:pt>
                <c:pt idx="45">
                  <c:v>1.8179189099478366</c:v>
                </c:pt>
                <c:pt idx="46">
                  <c:v>1.8546126066318918</c:v>
                </c:pt>
                <c:pt idx="47">
                  <c:v>1.891306303315947</c:v>
                </c:pt>
                <c:pt idx="48">
                  <c:v>1.9280000000000002</c:v>
                </c:pt>
                <c:pt idx="49">
                  <c:v>1.9816000000000003</c:v>
                </c:pt>
                <c:pt idx="50">
                  <c:v>2.0352000000000001</c:v>
                </c:pt>
                <c:pt idx="51">
                  <c:v>2.0888</c:v>
                </c:pt>
                <c:pt idx="52">
                  <c:v>2.1423999999999999</c:v>
                </c:pt>
                <c:pt idx="53">
                  <c:v>2.1959999999999997</c:v>
                </c:pt>
                <c:pt idx="54">
                  <c:v>2.2495999999999996</c:v>
                </c:pt>
                <c:pt idx="55">
                  <c:v>2.3031999999999995</c:v>
                </c:pt>
                <c:pt idx="56">
                  <c:v>2.3567999999999993</c:v>
                </c:pt>
                <c:pt idx="57">
                  <c:v>2.4103999999999992</c:v>
                </c:pt>
                <c:pt idx="58">
                  <c:v>2.4639999999999991</c:v>
                </c:pt>
                <c:pt idx="59">
                  <c:v>2.5175999999999989</c:v>
                </c:pt>
                <c:pt idx="60">
                  <c:v>2.5711999999999988</c:v>
                </c:pt>
                <c:pt idx="61">
                  <c:v>2.6247999999999987</c:v>
                </c:pt>
                <c:pt idx="62">
                  <c:v>2.6783999999999986</c:v>
                </c:pt>
                <c:pt idx="63">
                  <c:v>2.7319999999999984</c:v>
                </c:pt>
                <c:pt idx="64">
                  <c:v>2.7855999999999983</c:v>
                </c:pt>
                <c:pt idx="65">
                  <c:v>2.8391999999999982</c:v>
                </c:pt>
                <c:pt idx="66">
                  <c:v>2.892799999999998</c:v>
                </c:pt>
                <c:pt idx="67">
                  <c:v>2.9463999999999979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  <c:pt idx="116">
                  <c:v>6.4</c:v>
                </c:pt>
                <c:pt idx="117">
                  <c:v>6.8</c:v>
                </c:pt>
                <c:pt idx="118">
                  <c:v>7.2</c:v>
                </c:pt>
                <c:pt idx="119">
                  <c:v>7.6</c:v>
                </c:pt>
                <c:pt idx="120">
                  <c:v>8</c:v>
                </c:pt>
                <c:pt idx="121">
                  <c:v>8.4</c:v>
                </c:pt>
                <c:pt idx="122">
                  <c:v>8.8000000000000007</c:v>
                </c:pt>
                <c:pt idx="123">
                  <c:v>9.1999999999999993</c:v>
                </c:pt>
                <c:pt idx="124">
                  <c:v>9.6</c:v>
                </c:pt>
                <c:pt idx="125">
                  <c:v>10</c:v>
                </c:pt>
              </c:numCache>
            </c:numRef>
          </c:xVal>
          <c:yVal>
            <c:numRef>
              <c:f>'Spettri x'!$AS$15:$AS$140</c:f>
              <c:numCache>
                <c:formatCode>0.0000</c:formatCode>
                <c:ptCount val="126"/>
                <c:pt idx="0">
                  <c:v>0.123</c:v>
                </c:pt>
                <c:pt idx="1">
                  <c:v>0.123</c:v>
                </c:pt>
                <c:pt idx="2">
                  <c:v>0.20393399999999998</c:v>
                </c:pt>
                <c:pt idx="3">
                  <c:v>0.28486799999999995</c:v>
                </c:pt>
                <c:pt idx="4">
                  <c:v>0.28486799999999995</c:v>
                </c:pt>
                <c:pt idx="5">
                  <c:v>0.28486799999999995</c:v>
                </c:pt>
                <c:pt idx="6">
                  <c:v>0.28486799999999995</c:v>
                </c:pt>
                <c:pt idx="7">
                  <c:v>0.28486799999999995</c:v>
                </c:pt>
                <c:pt idx="8">
                  <c:v>0.2638337959273796</c:v>
                </c:pt>
                <c:pt idx="9">
                  <c:v>0.24569226627866497</c:v>
                </c:pt>
                <c:pt idx="10">
                  <c:v>0.22988509051231781</c:v>
                </c:pt>
                <c:pt idx="11">
                  <c:v>0.21598894601819177</c:v>
                </c:pt>
                <c:pt idx="12">
                  <c:v>0.2036770320067485</c:v>
                </c:pt>
                <c:pt idx="13">
                  <c:v>0.1926930431428977</c:v>
                </c:pt>
                <c:pt idx="14">
                  <c:v>0.18283313363795323</c:v>
                </c:pt>
                <c:pt idx="15">
                  <c:v>0.17393314907288079</c:v>
                </c:pt>
                <c:pt idx="16">
                  <c:v>0.16585941430753942</c:v>
                </c:pt>
                <c:pt idx="17">
                  <c:v>0.15850197325248452</c:v>
                </c:pt>
                <c:pt idx="18">
                  <c:v>0.15176955149783539</c:v>
                </c:pt>
                <c:pt idx="19">
                  <c:v>0.14558575041844599</c:v>
                </c:pt>
                <c:pt idx="20">
                  <c:v>0.13988613527326474</c:v>
                </c:pt>
                <c:pt idx="21">
                  <c:v>0.13461598153278911</c:v>
                </c:pt>
                <c:pt idx="22">
                  <c:v>0.12972851214773429</c:v>
                </c:pt>
                <c:pt idx="23">
                  <c:v>0.12518350535887598</c:v>
                </c:pt>
                <c:pt idx="24">
                  <c:v>0.12094618525126899</c:v>
                </c:pt>
                <c:pt idx="25">
                  <c:v>0.11698633025222724</c:v>
                </c:pt>
                <c:pt idx="26">
                  <c:v>0.11327755120727086</c:v>
                </c:pt>
                <c:pt idx="27">
                  <c:v>0.10979670255791049</c:v>
                </c:pt>
                <c:pt idx="28">
                  <c:v>0.10979670255791049</c:v>
                </c:pt>
                <c:pt idx="29">
                  <c:v>0.10652339884466833</c:v>
                </c:pt>
                <c:pt idx="30">
                  <c:v>0.10343961519165207</c:v>
                </c:pt>
                <c:pt idx="31">
                  <c:v>0.1005293552330125</c:v>
                </c:pt>
                <c:pt idx="32">
                  <c:v>9.7778373562474208E-2</c:v>
                </c:pt>
                <c:pt idx="33">
                  <c:v>9.5173942539978532E-2</c:v>
                </c:pt>
                <c:pt idx="34">
                  <c:v>9.2704655399524841E-2</c:v>
                </c:pt>
                <c:pt idx="35">
                  <c:v>9.0360259232095411E-2</c:v>
                </c:pt>
                <c:pt idx="36">
                  <c:v>8.813151268555644E-2</c:v>
                </c:pt>
                <c:pt idx="37">
                  <c:v>8.6010064216730617E-2</c:v>
                </c:pt>
                <c:pt idx="38">
                  <c:v>8.3988347514005732E-2</c:v>
                </c:pt>
                <c:pt idx="39">
                  <c:v>8.2059491330138609E-2</c:v>
                </c:pt>
                <c:pt idx="40">
                  <c:v>8.0217241460674507E-2</c:v>
                </c:pt>
                <c:pt idx="41">
                  <c:v>7.8455893001193447E-2</c:v>
                </c:pt>
                <c:pt idx="42">
                  <c:v>7.6770231337465702E-2</c:v>
                </c:pt>
                <c:pt idx="43">
                  <c:v>7.5155480582727488E-2</c:v>
                </c:pt>
                <c:pt idx="44">
                  <c:v>7.360725838818874E-2</c:v>
                </c:pt>
                <c:pt idx="45">
                  <c:v>7.2121536226291777E-2</c:v>
                </c:pt>
                <c:pt idx="46">
                  <c:v>7.0694604388768192E-2</c:v>
                </c:pt>
                <c:pt idx="47">
                  <c:v>6.9323041059183396E-2</c:v>
                </c:pt>
                <c:pt idx="48">
                  <c:v>6.800368491714924E-2</c:v>
                </c:pt>
                <c:pt idx="49">
                  <c:v>6.4374596284573746E-2</c:v>
                </c:pt>
                <c:pt idx="50">
                  <c:v>6.1028446876992382E-2</c:v>
                </c:pt>
                <c:pt idx="51">
                  <c:v>5.7936571032417949E-2</c:v>
                </c:pt>
                <c:pt idx="52">
                  <c:v>5.5073843516710248E-2</c:v>
                </c:pt>
                <c:pt idx="53">
                  <c:v>5.241816747353787E-2</c:v>
                </c:pt>
                <c:pt idx="54">
                  <c:v>4.9950046737222351E-2</c:v>
                </c:pt>
                <c:pt idx="55">
                  <c:v>4.7652226989598742E-2</c:v>
                </c:pt>
                <c:pt idx="56">
                  <c:v>4.5509393381304164E-2</c:v>
                </c:pt>
                <c:pt idx="57">
                  <c:v>4.3507914687124109E-2</c:v>
                </c:pt>
                <c:pt idx="58">
                  <c:v>4.1635625987444642E-2</c:v>
                </c:pt>
                <c:pt idx="59">
                  <c:v>3.9881643385486533E-2</c:v>
                </c:pt>
                <c:pt idx="60">
                  <c:v>3.8236205474657475E-2</c:v>
                </c:pt>
                <c:pt idx="61">
                  <c:v>3.6690537231606778E-2</c:v>
                </c:pt>
                <c:pt idx="62">
                  <c:v>3.5236732781433286E-2</c:v>
                </c:pt>
                <c:pt idx="63">
                  <c:v>3.3867654102651509E-2</c:v>
                </c:pt>
                <c:pt idx="64">
                  <c:v>3.2576843242336236E-2</c:v>
                </c:pt>
                <c:pt idx="65">
                  <c:v>3.135844602067811E-2</c:v>
                </c:pt>
                <c:pt idx="66">
                  <c:v>3.0207145537967862E-2</c:v>
                </c:pt>
                <c:pt idx="67">
                  <c:v>2.9118104070657964E-2</c:v>
                </c:pt>
                <c:pt idx="68">
                  <c:v>2.8086912168340947E-2</c:v>
                </c:pt>
                <c:pt idx="69">
                  <c:v>2.8086912168340947E-2</c:v>
                </c:pt>
                <c:pt idx="70">
                  <c:v>2.8086912168340947E-2</c:v>
                </c:pt>
                <c:pt idx="71">
                  <c:v>2.8086912168340947E-2</c:v>
                </c:pt>
                <c:pt idx="72">
                  <c:v>2.8086912168340947E-2</c:v>
                </c:pt>
                <c:pt idx="73">
                  <c:v>2.8086912168340947E-2</c:v>
                </c:pt>
                <c:pt idx="74">
                  <c:v>2.8086912168340947E-2</c:v>
                </c:pt>
                <c:pt idx="75">
                  <c:v>2.8086912168340947E-2</c:v>
                </c:pt>
                <c:pt idx="76">
                  <c:v>2.8086912168340947E-2</c:v>
                </c:pt>
                <c:pt idx="77">
                  <c:v>2.8086912168340947E-2</c:v>
                </c:pt>
                <c:pt idx="78">
                  <c:v>2.8086912168340947E-2</c:v>
                </c:pt>
                <c:pt idx="79">
                  <c:v>2.8086912168340947E-2</c:v>
                </c:pt>
                <c:pt idx="80">
                  <c:v>2.8086912168340947E-2</c:v>
                </c:pt>
                <c:pt idx="81">
                  <c:v>2.8086912168340947E-2</c:v>
                </c:pt>
                <c:pt idx="82">
                  <c:v>2.8086912168340947E-2</c:v>
                </c:pt>
                <c:pt idx="83">
                  <c:v>2.8086912168340947E-2</c:v>
                </c:pt>
                <c:pt idx="84">
                  <c:v>2.8086912168340947E-2</c:v>
                </c:pt>
                <c:pt idx="85">
                  <c:v>2.8086912168340947E-2</c:v>
                </c:pt>
                <c:pt idx="86">
                  <c:v>2.8086912168340947E-2</c:v>
                </c:pt>
                <c:pt idx="87">
                  <c:v>2.8086912168340947E-2</c:v>
                </c:pt>
                <c:pt idx="88">
                  <c:v>2.8086912168340947E-2</c:v>
                </c:pt>
                <c:pt idx="89">
                  <c:v>2.8086912168340947E-2</c:v>
                </c:pt>
                <c:pt idx="90">
                  <c:v>2.6044928156102168E-2</c:v>
                </c:pt>
                <c:pt idx="91">
                  <c:v>2.4217796716579691E-2</c:v>
                </c:pt>
                <c:pt idx="92">
                  <c:v>2.2576400268488082E-2</c:v>
                </c:pt>
                <c:pt idx="93">
                  <c:v>2.1096391806442755E-2</c:v>
                </c:pt>
                <c:pt idx="94">
                  <c:v>1.9757286811444827E-2</c:v>
                </c:pt>
                <c:pt idx="95">
                  <c:v>1.8541750611131325E-2</c:v>
                </c:pt>
                <c:pt idx="96">
                  <c:v>1.7435034550779136E-2</c:v>
                </c:pt>
                <c:pt idx="97">
                  <c:v>1.6424526492905257E-2</c:v>
                </c:pt>
                <c:pt idx="98">
                  <c:v>1.5499389898611006E-2</c:v>
                </c:pt>
                <c:pt idx="99">
                  <c:v>1.4650272087807472E-2</c:v>
                </c:pt>
                <c:pt idx="100">
                  <c:v>1.3869066928998166E-2</c:v>
                </c:pt>
                <c:pt idx="101">
                  <c:v>1.3148720654985105E-2</c:v>
                </c:pt>
                <c:pt idx="102">
                  <c:v>1.2483072074818207E-2</c:v>
                </c:pt>
                <c:pt idx="103">
                  <c:v>1.1866720391124061E-2</c:v>
                </c:pt>
                <c:pt idx="104">
                  <c:v>1.1294915303865853E-2</c:v>
                </c:pt>
                <c:pt idx="105">
                  <c:v>1.0763465207368766E-2</c:v>
                </c:pt>
                <c:pt idx="106">
                  <c:v>1.026866015456923E-2</c:v>
                </c:pt>
                <c:pt idx="107">
                  <c:v>9.8072069348132795E-3</c:v>
                </c:pt>
                <c:pt idx="108">
                  <c:v>9.3761741361967962E-3</c:v>
                </c:pt>
                <c:pt idx="109">
                  <c:v>8.9729454753301099E-3</c:v>
                </c:pt>
                <c:pt idx="110">
                  <c:v>8.5951800026249497E-3</c:v>
                </c:pt>
                <c:pt idx="111">
                  <c:v>8.2407780493917171E-3</c:v>
                </c:pt>
                <c:pt idx="112">
                  <c:v>7.9078519890872639E-3</c:v>
                </c:pt>
                <c:pt idx="113">
                  <c:v>7.5947010503194089E-3</c:v>
                </c:pt>
                <c:pt idx="114">
                  <c:v>7.299789552402354E-3</c:v>
                </c:pt>
                <c:pt idx="115">
                  <c:v>7.0217280420852369E-3</c:v>
                </c:pt>
                <c:pt idx="116">
                  <c:v>5.8207663998483252E-3</c:v>
                </c:pt>
                <c:pt idx="117">
                  <c:v>4.84547954066839E-3</c:v>
                </c:pt>
                <c:pt idx="118">
                  <c:v>4.0449721485961649E-3</c:v>
                </c:pt>
                <c:pt idx="119">
                  <c:v>3.3817129225405841E-3</c:v>
                </c:pt>
                <c:pt idx="120">
                  <c:v>2.8275643848228601E-3</c:v>
                </c:pt>
                <c:pt idx="121">
                  <c:v>2.3611182376896528E-3</c:v>
                </c:pt>
                <c:pt idx="122">
                  <c:v>1.9658688671758888E-3</c:v>
                </c:pt>
                <c:pt idx="123">
                  <c:v>1.6289374680626158E-3</c:v>
                </c:pt>
                <c:pt idx="124">
                  <c:v>1.3401654678769389E-3</c:v>
                </c:pt>
                <c:pt idx="125">
                  <c:v>1.0914603174225755E-3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D2D-42C0-9298-5AD259331E4C}"/>
            </c:ext>
          </c:extLst>
        </c:ser>
        <c:ser>
          <c:idx val="3"/>
          <c:order val="4"/>
          <c:tx>
            <c:v>SLO</c:v>
          </c:tx>
          <c:spPr>
            <a:ln w="1270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xVal>
            <c:numRef>
              <c:f>'Spettri x'!$AM$15:$AM$140</c:f>
              <c:numCache>
                <c:formatCode>0.000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7.4581983584264488E-2</c:v>
                </c:pt>
                <c:pt idx="3">
                  <c:v>0.14916396716852898</c:v>
                </c:pt>
                <c:pt idx="4">
                  <c:v>0.22374595075279347</c:v>
                </c:pt>
                <c:pt idx="5">
                  <c:v>0.29832793433705795</c:v>
                </c:pt>
                <c:pt idx="6">
                  <c:v>0.37290991792132244</c:v>
                </c:pt>
                <c:pt idx="7">
                  <c:v>0.44749190150558693</c:v>
                </c:pt>
                <c:pt idx="8">
                  <c:v>0.48240460396794727</c:v>
                </c:pt>
                <c:pt idx="9">
                  <c:v>0.5173173064303076</c:v>
                </c:pt>
                <c:pt idx="10">
                  <c:v>0.55223000889266793</c:v>
                </c:pt>
                <c:pt idx="11">
                  <c:v>0.58714271135502827</c:v>
                </c:pt>
                <c:pt idx="12">
                  <c:v>0.6220554138173886</c:v>
                </c:pt>
                <c:pt idx="13">
                  <c:v>0.65696811627974894</c:v>
                </c:pt>
                <c:pt idx="14">
                  <c:v>0.69188081874210927</c:v>
                </c:pt>
                <c:pt idx="15">
                  <c:v>0.72679352120446961</c:v>
                </c:pt>
                <c:pt idx="16">
                  <c:v>0.76170622366682994</c:v>
                </c:pt>
                <c:pt idx="17">
                  <c:v>0.79661892612919027</c:v>
                </c:pt>
                <c:pt idx="18">
                  <c:v>0.83153162859155061</c:v>
                </c:pt>
                <c:pt idx="19">
                  <c:v>0.86644433105391094</c:v>
                </c:pt>
                <c:pt idx="20">
                  <c:v>0.90135703351627128</c:v>
                </c:pt>
                <c:pt idx="21">
                  <c:v>0.93626973597863161</c:v>
                </c:pt>
                <c:pt idx="22">
                  <c:v>0.97118243844099195</c:v>
                </c:pt>
                <c:pt idx="23">
                  <c:v>1.0060951409033523</c:v>
                </c:pt>
                <c:pt idx="24">
                  <c:v>1.0410078433657126</c:v>
                </c:pt>
                <c:pt idx="25">
                  <c:v>1.0759205458280729</c:v>
                </c:pt>
                <c:pt idx="26">
                  <c:v>1.1108332482904333</c:v>
                </c:pt>
                <c:pt idx="27">
                  <c:v>1.1457459507527936</c:v>
                </c:pt>
                <c:pt idx="28">
                  <c:v>1.1457459507527936</c:v>
                </c:pt>
                <c:pt idx="29">
                  <c:v>1.180658653215154</c:v>
                </c:pt>
                <c:pt idx="30">
                  <c:v>1.2155713556775143</c:v>
                </c:pt>
                <c:pt idx="31">
                  <c:v>1.2504840581398746</c:v>
                </c:pt>
                <c:pt idx="32">
                  <c:v>1.285396760602235</c:v>
                </c:pt>
                <c:pt idx="33">
                  <c:v>1.3203094630645953</c:v>
                </c:pt>
                <c:pt idx="34">
                  <c:v>1.3552221655269556</c:v>
                </c:pt>
                <c:pt idx="35">
                  <c:v>1.390134867989316</c:v>
                </c:pt>
                <c:pt idx="36">
                  <c:v>1.4250475704516763</c:v>
                </c:pt>
                <c:pt idx="37">
                  <c:v>1.4599602729140366</c:v>
                </c:pt>
                <c:pt idx="38">
                  <c:v>1.494872975376397</c:v>
                </c:pt>
                <c:pt idx="39">
                  <c:v>1.5297856778387573</c:v>
                </c:pt>
                <c:pt idx="40">
                  <c:v>1.5646983803011176</c:v>
                </c:pt>
                <c:pt idx="41">
                  <c:v>1.599611082763478</c:v>
                </c:pt>
                <c:pt idx="42">
                  <c:v>1.6345237852258383</c:v>
                </c:pt>
                <c:pt idx="43">
                  <c:v>1.6694364876881986</c:v>
                </c:pt>
                <c:pt idx="44">
                  <c:v>1.704349190150559</c:v>
                </c:pt>
                <c:pt idx="45">
                  <c:v>1.7392618926129193</c:v>
                </c:pt>
                <c:pt idx="46">
                  <c:v>1.7741745950752796</c:v>
                </c:pt>
                <c:pt idx="47">
                  <c:v>1.80908729753764</c:v>
                </c:pt>
                <c:pt idx="48">
                  <c:v>1.8440000000000001</c:v>
                </c:pt>
                <c:pt idx="49">
                  <c:v>1.8729</c:v>
                </c:pt>
                <c:pt idx="50">
                  <c:v>1.9017999999999999</c:v>
                </c:pt>
                <c:pt idx="51">
                  <c:v>1.9306999999999999</c:v>
                </c:pt>
                <c:pt idx="52">
                  <c:v>1.9595999999999998</c:v>
                </c:pt>
                <c:pt idx="53">
                  <c:v>1.9884999999999997</c:v>
                </c:pt>
                <c:pt idx="54">
                  <c:v>2.0173999999999999</c:v>
                </c:pt>
                <c:pt idx="55">
                  <c:v>2.0463</c:v>
                </c:pt>
                <c:pt idx="56">
                  <c:v>2.0752000000000002</c:v>
                </c:pt>
                <c:pt idx="57">
                  <c:v>2.1041000000000003</c:v>
                </c:pt>
                <c:pt idx="58">
                  <c:v>2.1330000000000005</c:v>
                </c:pt>
                <c:pt idx="59">
                  <c:v>2.1619000000000006</c:v>
                </c:pt>
                <c:pt idx="60">
                  <c:v>2.1908000000000007</c:v>
                </c:pt>
                <c:pt idx="61">
                  <c:v>2.2197000000000009</c:v>
                </c:pt>
                <c:pt idx="62">
                  <c:v>2.248600000000001</c:v>
                </c:pt>
                <c:pt idx="63">
                  <c:v>2.2775000000000012</c:v>
                </c:pt>
                <c:pt idx="64">
                  <c:v>2.3064000000000013</c:v>
                </c:pt>
                <c:pt idx="65">
                  <c:v>2.3353000000000015</c:v>
                </c:pt>
                <c:pt idx="66">
                  <c:v>2.3642000000000016</c:v>
                </c:pt>
                <c:pt idx="67">
                  <c:v>2.3931000000000018</c:v>
                </c:pt>
                <c:pt idx="68">
                  <c:v>2.4220000000000002</c:v>
                </c:pt>
                <c:pt idx="69">
                  <c:v>2.4220000000000002</c:v>
                </c:pt>
                <c:pt idx="70">
                  <c:v>2.4509000000000003</c:v>
                </c:pt>
                <c:pt idx="71">
                  <c:v>2.4798000000000004</c:v>
                </c:pt>
                <c:pt idx="72">
                  <c:v>2.5087000000000006</c:v>
                </c:pt>
                <c:pt idx="73">
                  <c:v>2.5376000000000007</c:v>
                </c:pt>
                <c:pt idx="74">
                  <c:v>2.5665000000000009</c:v>
                </c:pt>
                <c:pt idx="75">
                  <c:v>2.595400000000001</c:v>
                </c:pt>
                <c:pt idx="76">
                  <c:v>2.6243000000000012</c:v>
                </c:pt>
                <c:pt idx="77">
                  <c:v>2.6532000000000013</c:v>
                </c:pt>
                <c:pt idx="78">
                  <c:v>2.6821000000000015</c:v>
                </c:pt>
                <c:pt idx="79">
                  <c:v>2.7110000000000016</c:v>
                </c:pt>
                <c:pt idx="80">
                  <c:v>2.7399000000000018</c:v>
                </c:pt>
                <c:pt idx="81">
                  <c:v>2.7688000000000019</c:v>
                </c:pt>
                <c:pt idx="82">
                  <c:v>2.7977000000000021</c:v>
                </c:pt>
                <c:pt idx="83">
                  <c:v>2.8266000000000022</c:v>
                </c:pt>
                <c:pt idx="84">
                  <c:v>2.8555000000000024</c:v>
                </c:pt>
                <c:pt idx="85">
                  <c:v>2.8844000000000025</c:v>
                </c:pt>
                <c:pt idx="86">
                  <c:v>2.9133000000000027</c:v>
                </c:pt>
                <c:pt idx="87">
                  <c:v>2.9422000000000028</c:v>
                </c:pt>
                <c:pt idx="88">
                  <c:v>2.971100000000003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  <c:pt idx="116">
                  <c:v>6.4</c:v>
                </c:pt>
                <c:pt idx="117">
                  <c:v>6.8</c:v>
                </c:pt>
                <c:pt idx="118">
                  <c:v>7.2</c:v>
                </c:pt>
                <c:pt idx="119">
                  <c:v>7.6</c:v>
                </c:pt>
                <c:pt idx="120">
                  <c:v>8</c:v>
                </c:pt>
                <c:pt idx="121">
                  <c:v>8.4</c:v>
                </c:pt>
                <c:pt idx="122">
                  <c:v>8.8000000000000007</c:v>
                </c:pt>
                <c:pt idx="123">
                  <c:v>9.1999999999999993</c:v>
                </c:pt>
                <c:pt idx="124">
                  <c:v>9.6</c:v>
                </c:pt>
                <c:pt idx="125">
                  <c:v>10</c:v>
                </c:pt>
              </c:numCache>
            </c:numRef>
          </c:xVal>
          <c:yVal>
            <c:numRef>
              <c:f>'Spettri x'!$AO$15:$AO$140</c:f>
              <c:numCache>
                <c:formatCode>0.0000</c:formatCode>
                <c:ptCount val="126"/>
                <c:pt idx="0">
                  <c:v>9.1499999999999998E-2</c:v>
                </c:pt>
                <c:pt idx="1">
                  <c:v>9.1499999999999998E-2</c:v>
                </c:pt>
                <c:pt idx="2">
                  <c:v>0.15372</c:v>
                </c:pt>
                <c:pt idx="3">
                  <c:v>0.21593999999999999</c:v>
                </c:pt>
                <c:pt idx="4">
                  <c:v>0.21593999999999999</c:v>
                </c:pt>
                <c:pt idx="5">
                  <c:v>0.21593999999999999</c:v>
                </c:pt>
                <c:pt idx="6">
                  <c:v>0.21593999999999999</c:v>
                </c:pt>
                <c:pt idx="7">
                  <c:v>0.21593999999999999</c:v>
                </c:pt>
                <c:pt idx="8">
                  <c:v>0.20031193818692697</c:v>
                </c:pt>
                <c:pt idx="9">
                  <c:v>0.1867932891669738</c:v>
                </c:pt>
                <c:pt idx="10">
                  <c:v>0.17498397344411218</c:v>
                </c:pt>
                <c:pt idx="11">
                  <c:v>0.16457906969177416</c:v>
                </c:pt>
                <c:pt idx="12">
                  <c:v>0.15534211111211979</c:v>
                </c:pt>
                <c:pt idx="13">
                  <c:v>0.14708689632963715</c:v>
                </c:pt>
                <c:pt idx="14">
                  <c:v>0.13966480728111455</c:v>
                </c:pt>
                <c:pt idx="15">
                  <c:v>0.13295578233963234</c:v>
                </c:pt>
                <c:pt idx="16">
                  <c:v>0.12686177191245188</c:v>
                </c:pt>
                <c:pt idx="17">
                  <c:v>0.12130191493271829</c:v>
                </c:pt>
                <c:pt idx="18">
                  <c:v>0.11620893047061942</c:v>
                </c:pt>
                <c:pt idx="19">
                  <c:v>0.11152638172792655</c:v>
                </c:pt>
                <c:pt idx="20">
                  <c:v>0.10720657588275428</c:v>
                </c:pt>
                <c:pt idx="21">
                  <c:v>0.10320893381234085</c:v>
                </c:pt>
                <c:pt idx="22">
                  <c:v>9.9498711453468752E-2</c:v>
                </c:pt>
                <c:pt idx="23">
                  <c:v>9.6045987384804452E-2</c:v>
                </c:pt>
                <c:pt idx="24">
                  <c:v>9.2824854132409471E-2</c:v>
                </c:pt>
                <c:pt idx="25">
                  <c:v>8.9812766923922732E-2</c:v>
                </c:pt>
                <c:pt idx="26">
                  <c:v>8.699001525191262E-2</c:v>
                </c:pt>
                <c:pt idx="27">
                  <c:v>8.433929105106272E-2</c:v>
                </c:pt>
                <c:pt idx="28">
                  <c:v>8.433929105106272E-2</c:v>
                </c:pt>
                <c:pt idx="29">
                  <c:v>8.1845333490735098E-2</c:v>
                </c:pt>
                <c:pt idx="30">
                  <c:v>7.9494634979497103E-2</c:v>
                </c:pt>
                <c:pt idx="31">
                  <c:v>7.7275196418623668E-2</c:v>
                </c:pt>
                <c:pt idx="32">
                  <c:v>7.5176322341004367E-2</c:v>
                </c:pt>
                <c:pt idx="33">
                  <c:v>7.3188448552677532E-2</c:v>
                </c:pt>
                <c:pt idx="34">
                  <c:v>7.130299641575219E-2</c:v>
                </c:pt>
                <c:pt idx="35">
                  <c:v>6.9512249089099976E-2</c:v>
                </c:pt>
                <c:pt idx="36">
                  <c:v>6.7809245961163667E-2</c:v>
                </c:pt>
                <c:pt idx="37">
                  <c:v>6.6187692229626963E-2</c:v>
                </c:pt>
                <c:pt idx="38">
                  <c:v>6.4641881151664693E-2</c:v>
                </c:pt>
                <c:pt idx="39">
                  <c:v>6.3166626940601808E-2</c:v>
                </c:pt>
                <c:pt idx="40">
                  <c:v>6.1757206646127064E-2</c:v>
                </c:pt>
                <c:pt idx="41">
                  <c:v>6.0409309645552495E-2</c:v>
                </c:pt>
                <c:pt idx="42">
                  <c:v>5.9118993608138347E-2</c:v>
                </c:pt>
                <c:pt idx="43">
                  <c:v>5.7882645984891352E-2</c:v>
                </c:pt>
                <c:pt idx="44">
                  <c:v>5.6696950231531019E-2</c:v>
                </c:pt>
                <c:pt idx="45">
                  <c:v>5.5558856099552453E-2</c:v>
                </c:pt>
                <c:pt idx="46">
                  <c:v>5.4465553435013699E-2</c:v>
                </c:pt>
                <c:pt idx="47">
                  <c:v>5.3414449011190364E-2</c:v>
                </c:pt>
                <c:pt idx="48">
                  <c:v>5.2403145993013246E-2</c:v>
                </c:pt>
                <c:pt idx="49">
                  <c:v>5.0798397779877276E-2</c:v>
                </c:pt>
                <c:pt idx="50">
                  <c:v>4.9266250155010516E-2</c:v>
                </c:pt>
                <c:pt idx="51">
                  <c:v>4.7802388884362709E-2</c:v>
                </c:pt>
                <c:pt idx="52">
                  <c:v>4.6402815499675072E-2</c:v>
                </c:pt>
                <c:pt idx="53">
                  <c:v>4.5063819965378948E-2</c:v>
                </c:pt>
                <c:pt idx="54">
                  <c:v>4.3781956066512688E-2</c:v>
                </c:pt>
                <c:pt idx="55">
                  <c:v>4.25540192124279E-2</c:v>
                </c:pt>
                <c:pt idx="56">
                  <c:v>4.1377026389041026E-2</c:v>
                </c:pt>
                <c:pt idx="57">
                  <c:v>4.0248198025191854E-2</c:v>
                </c:pt>
                <c:pt idx="58">
                  <c:v>3.9164941567060664E-2</c:v>
                </c:pt>
                <c:pt idx="59">
                  <c:v>3.8124836579217329E-2</c:v>
                </c:pt>
                <c:pt idx="60">
                  <c:v>3.7125621212271059E-2</c:v>
                </c:pt>
                <c:pt idx="61">
                  <c:v>3.6165179895717367E-2</c:v>
                </c:pt>
                <c:pt idx="62">
                  <c:v>3.5241532130828604E-2</c:v>
                </c:pt>
                <c:pt idx="63">
                  <c:v>3.4352822272635301E-2</c:v>
                </c:pt>
                <c:pt idx="64">
                  <c:v>3.3497310202478578E-2</c:v>
                </c:pt>
                <c:pt idx="65">
                  <c:v>3.2673362803517486E-2</c:v>
                </c:pt>
                <c:pt idx="66">
                  <c:v>3.1879446161155102E-2</c:v>
                </c:pt>
                <c:pt idx="67">
                  <c:v>3.1114118418776111E-2</c:v>
                </c:pt>
                <c:pt idx="68">
                  <c:v>3.0376023226619104E-2</c:v>
                </c:pt>
                <c:pt idx="69">
                  <c:v>3.0376023226619104E-2</c:v>
                </c:pt>
                <c:pt idx="70">
                  <c:v>2.9663883728165207E-2</c:v>
                </c:pt>
                <c:pt idx="71">
                  <c:v>2.8976497034224884E-2</c:v>
                </c:pt>
                <c:pt idx="72">
                  <c:v>2.8312729140038143E-2</c:v>
                </c:pt>
                <c:pt idx="73">
                  <c:v>2.7671510245258511E-2</c:v>
                </c:pt>
                <c:pt idx="74">
                  <c:v>2.705183044073408E-2</c:v>
                </c:pt>
                <c:pt idx="75">
                  <c:v>2.6452735729595035E-2</c:v>
                </c:pt>
                <c:pt idx="76">
                  <c:v>2.587332435335956E-2</c:v>
                </c:pt>
                <c:pt idx="77">
                  <c:v>2.5312743396625047E-2</c:v>
                </c:pt>
                <c:pt idx="78">
                  <c:v>2.4770185646461249E-2</c:v>
                </c:pt>
                <c:pt idx="79">
                  <c:v>2.4244886684900758E-2</c:v>
                </c:pt>
                <c:pt idx="80">
                  <c:v>2.3736122194962454E-2</c:v>
                </c:pt>
                <c:pt idx="81">
                  <c:v>2.3243205462471443E-2</c:v>
                </c:pt>
                <c:pt idx="82">
                  <c:v>2.276548505757961E-2</c:v>
                </c:pt>
                <c:pt idx="83">
                  <c:v>2.2302342681364135E-2</c:v>
                </c:pt>
                <c:pt idx="84">
                  <c:v>2.1853191164206569E-2</c:v>
                </c:pt>
                <c:pt idx="85">
                  <c:v>2.1417472603848006E-2</c:v>
                </c:pt>
                <c:pt idx="86">
                  <c:v>2.099465663209123E-2</c:v>
                </c:pt>
                <c:pt idx="87">
                  <c:v>2.0584238800090776E-2</c:v>
                </c:pt>
                <c:pt idx="88">
                  <c:v>2.0185739073048194E-2</c:v>
                </c:pt>
                <c:pt idx="89">
                  <c:v>1.9798700425922081E-2</c:v>
                </c:pt>
                <c:pt idx="90">
                  <c:v>1.8359288735148596E-2</c:v>
                </c:pt>
                <c:pt idx="91">
                  <c:v>1.7071328428473628E-2</c:v>
                </c:pt>
                <c:pt idx="92">
                  <c:v>1.591429427814902E-2</c:v>
                </c:pt>
                <c:pt idx="93">
                  <c:v>1.4871023875470362E-2</c:v>
                </c:pt>
                <c:pt idx="94">
                  <c:v>1.3927077510846332E-2</c:v>
                </c:pt>
                <c:pt idx="95">
                  <c:v>1.3070235828050121E-2</c:v>
                </c:pt>
                <c:pt idx="96">
                  <c:v>1.2290102376421787E-2</c:v>
                </c:pt>
                <c:pt idx="97">
                  <c:v>1.1577786754258931E-2</c:v>
                </c:pt>
                <c:pt idx="98">
                  <c:v>1.0925650194223124E-2</c:v>
                </c:pt>
                <c:pt idx="99">
                  <c:v>1.0327099913521088E-2</c:v>
                </c:pt>
                <c:pt idx="100">
                  <c:v>9.7764218319381542E-3</c:v>
                </c:pt>
                <c:pt idx="101">
                  <c:v>9.2686436896976011E-3</c:v>
                </c:pt>
                <c:pt idx="102">
                  <c:v>8.7994224115209314E-3</c:v>
                </c:pt>
                <c:pt idx="103">
                  <c:v>8.364950929952087E-3</c:v>
                </c:pt>
                <c:pt idx="104">
                  <c:v>7.9618807185742654E-3</c:v>
                </c:pt>
                <c:pt idx="105">
                  <c:v>7.5872570793216231E-3</c:v>
                </c:pt>
                <c:pt idx="106">
                  <c:v>7.2384648393311766E-3</c:v>
                </c:pt>
                <c:pt idx="107">
                  <c:v>6.9131825867372659E-3</c:v>
                </c:pt>
                <c:pt idx="108">
                  <c:v>6.6093439446535058E-3</c:v>
                </c:pt>
                <c:pt idx="109">
                  <c:v>6.3251046729316399E-3</c:v>
                </c:pt>
                <c:pt idx="110">
                  <c:v>6.0588146165338847E-3</c:v>
                </c:pt>
                <c:pt idx="111">
                  <c:v>5.8089937013556222E-3</c:v>
                </c:pt>
                <c:pt idx="112">
                  <c:v>5.5743113235832377E-3</c:v>
                </c:pt>
                <c:pt idx="113">
                  <c:v>5.3535685951693422E-3</c:v>
                </c:pt>
                <c:pt idx="114">
                  <c:v>5.1456830018928703E-3</c:v>
                </c:pt>
                <c:pt idx="115">
                  <c:v>4.9496751064805203E-3</c:v>
                </c:pt>
                <c:pt idx="116">
                  <c:v>4.0996051100417961E-3</c:v>
                </c:pt>
                <c:pt idx="117">
                  <c:v>3.4094149390425025E-3</c:v>
                </c:pt>
                <c:pt idx="118">
                  <c:v>2.8430337240613161E-3</c:v>
                </c:pt>
                <c:pt idx="119">
                  <c:v>2.3738640881120479E-3</c:v>
                </c:pt>
                <c:pt idx="120">
                  <c:v>1.9819673625525807E-3</c:v>
                </c:pt>
                <c:pt idx="121">
                  <c:v>1.6521744993959532E-3</c:v>
                </c:pt>
                <c:pt idx="122">
                  <c:v>1.3727912467896661E-3</c:v>
                </c:pt>
                <c:pt idx="123">
                  <c:v>1.1346937101300225E-3</c:v>
                </c:pt>
                <c:pt idx="124">
                  <c:v>9.3068573241556418E-4</c:v>
                </c:pt>
                <c:pt idx="125">
                  <c:v>7.5503518573431653E-4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D2D-42C0-9298-5AD259331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938176"/>
        <c:axId val="154017792"/>
      </c:scatterChart>
      <c:valAx>
        <c:axId val="153938176"/>
        <c:scaling>
          <c:orientation val="minMax"/>
          <c:max val="10"/>
          <c:min val="0"/>
        </c:scaling>
        <c:delete val="0"/>
        <c:axPos val="b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54017792"/>
        <c:crosses val="autoZero"/>
        <c:crossBetween val="midCat"/>
      </c:valAx>
      <c:valAx>
        <c:axId val="154017792"/>
        <c:scaling>
          <c:orientation val="minMax"/>
          <c:max val="1.2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539381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9927689338720689"/>
          <c:y val="0.21156255468066493"/>
          <c:w val="0.20786721972253488"/>
          <c:h val="0.34496654584843567"/>
        </c:manualLayout>
      </c:layout>
      <c:overlay val="1"/>
      <c:spPr>
        <a:solidFill>
          <a:schemeClr val="bg1"/>
        </a:solidFill>
      </c:spPr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'Spettri x'!$AA$10</c:f>
          <c:strCache>
            <c:ptCount val="1"/>
            <c:pt idx="0">
              <c:v>Piazza Cairoli, Messina - spettri elastici, ag/g</c:v>
            </c:pt>
          </c:strCache>
        </c:strRef>
      </c:tx>
      <c:layout>
        <c:manualLayout>
          <c:xMode val="edge"/>
          <c:yMode val="edge"/>
          <c:x val="0.12171119235095613"/>
          <c:y val="1.7777777777777781E-2"/>
        </c:manualLayout>
      </c:layout>
      <c:overlay val="0"/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5"/>
          <c:order val="0"/>
          <c:spPr>
            <a:ln>
              <a:noFill/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'Spettri x'!$AA$15:$AA$18</c:f>
              <c:numCache>
                <c:formatCode>General</c:formatCode>
                <c:ptCount val="4"/>
                <c:pt idx="0">
                  <c:v>0.61099999999999999</c:v>
                </c:pt>
                <c:pt idx="1">
                  <c:v>0.61099999999999999</c:v>
                </c:pt>
                <c:pt idx="2">
                  <c:v>0.61099999999999999</c:v>
                </c:pt>
                <c:pt idx="3">
                  <c:v>0.61099999999999999</c:v>
                </c:pt>
              </c:numCache>
            </c:numRef>
          </c:xVal>
          <c:yVal>
            <c:numRef>
              <c:f>'Spettri x'!$AC$15:$AC$20</c:f>
              <c:numCache>
                <c:formatCode>0.0</c:formatCode>
                <c:ptCount val="6"/>
                <c:pt idx="0">
                  <c:v>14.671305416491508</c:v>
                </c:pt>
                <c:pt idx="1">
                  <c:v>19.906273052046391</c:v>
                </c:pt>
                <c:pt idx="2">
                  <c:v>64.839235005765488</c:v>
                </c:pt>
                <c:pt idx="3">
                  <c:v>83.543782981664961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1E-45DF-A30D-1C98CA491B1B}"/>
            </c:ext>
          </c:extLst>
        </c:ser>
        <c:ser>
          <c:idx val="0"/>
          <c:order val="1"/>
          <c:tx>
            <c:v>SLC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'Spettri x'!$AY$15:$AY$140</c:f>
              <c:numCache>
                <c:formatCode>0.000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9.199860185971169E-2</c:v>
                </c:pt>
                <c:pt idx="3">
                  <c:v>0.18399720371942338</c:v>
                </c:pt>
                <c:pt idx="4">
                  <c:v>0.27599580557913506</c:v>
                </c:pt>
                <c:pt idx="5">
                  <c:v>0.3679944074388467</c:v>
                </c:pt>
                <c:pt idx="6">
                  <c:v>0.45999300929855835</c:v>
                </c:pt>
                <c:pt idx="7">
                  <c:v>0.55199161115827011</c:v>
                </c:pt>
                <c:pt idx="8">
                  <c:v>0.61209182087931335</c:v>
                </c:pt>
                <c:pt idx="9">
                  <c:v>0.67219203060035659</c:v>
                </c:pt>
                <c:pt idx="10">
                  <c:v>0.73229224032139983</c:v>
                </c:pt>
                <c:pt idx="11">
                  <c:v>0.79239245004244308</c:v>
                </c:pt>
                <c:pt idx="12">
                  <c:v>0.85249265976348632</c:v>
                </c:pt>
                <c:pt idx="13">
                  <c:v>0.91259286948452956</c:v>
                </c:pt>
                <c:pt idx="14">
                  <c:v>0.9726930792055728</c:v>
                </c:pt>
                <c:pt idx="15">
                  <c:v>1.032793288926616</c:v>
                </c:pt>
                <c:pt idx="16">
                  <c:v>1.0928934986476593</c:v>
                </c:pt>
                <c:pt idx="17">
                  <c:v>1.1529937083687025</c:v>
                </c:pt>
                <c:pt idx="18">
                  <c:v>1.2130939180897458</c:v>
                </c:pt>
                <c:pt idx="19">
                  <c:v>1.273194127810789</c:v>
                </c:pt>
                <c:pt idx="20">
                  <c:v>1.3332943375318322</c:v>
                </c:pt>
                <c:pt idx="21">
                  <c:v>1.3933945472528755</c:v>
                </c:pt>
                <c:pt idx="22">
                  <c:v>1.4534947569739187</c:v>
                </c:pt>
                <c:pt idx="23">
                  <c:v>1.513594966694962</c:v>
                </c:pt>
                <c:pt idx="24">
                  <c:v>1.5736951764160052</c:v>
                </c:pt>
                <c:pt idx="25">
                  <c:v>1.6337953861370484</c:v>
                </c:pt>
                <c:pt idx="26">
                  <c:v>1.6938955958580917</c:v>
                </c:pt>
                <c:pt idx="27">
                  <c:v>1.7539958055791351</c:v>
                </c:pt>
                <c:pt idx="28">
                  <c:v>1.7539958055791351</c:v>
                </c:pt>
                <c:pt idx="29">
                  <c:v>1.8140960153001784</c:v>
                </c:pt>
                <c:pt idx="30">
                  <c:v>1.8741962250212216</c:v>
                </c:pt>
                <c:pt idx="31">
                  <c:v>1.9342964347422649</c:v>
                </c:pt>
                <c:pt idx="32">
                  <c:v>1.9943966444633081</c:v>
                </c:pt>
                <c:pt idx="33">
                  <c:v>2.0544968541843516</c:v>
                </c:pt>
                <c:pt idx="34">
                  <c:v>2.114597063905395</c:v>
                </c:pt>
                <c:pt idx="35">
                  <c:v>2.1746972736264385</c:v>
                </c:pt>
                <c:pt idx="36">
                  <c:v>2.234797483347482</c:v>
                </c:pt>
                <c:pt idx="37">
                  <c:v>2.2948976930685254</c:v>
                </c:pt>
                <c:pt idx="38">
                  <c:v>2.3549979027895689</c:v>
                </c:pt>
                <c:pt idx="39">
                  <c:v>2.4150981125106123</c:v>
                </c:pt>
                <c:pt idx="40">
                  <c:v>2.4751983222316558</c:v>
                </c:pt>
                <c:pt idx="41">
                  <c:v>2.5352985319526993</c:v>
                </c:pt>
                <c:pt idx="42">
                  <c:v>2.5953987416737427</c:v>
                </c:pt>
                <c:pt idx="43">
                  <c:v>2.6554989513947862</c:v>
                </c:pt>
                <c:pt idx="44">
                  <c:v>2.7155991611158297</c:v>
                </c:pt>
                <c:pt idx="45">
                  <c:v>2.7756993708368731</c:v>
                </c:pt>
                <c:pt idx="46">
                  <c:v>2.8357995805579166</c:v>
                </c:pt>
                <c:pt idx="47">
                  <c:v>2.8958997902789601</c:v>
                </c:pt>
                <c:pt idx="48">
                  <c:v>2.9560000000000004</c:v>
                </c:pt>
                <c:pt idx="49">
                  <c:v>2.9582000000000006</c:v>
                </c:pt>
                <c:pt idx="50">
                  <c:v>2.9604000000000008</c:v>
                </c:pt>
                <c:pt idx="51">
                  <c:v>2.962600000000001</c:v>
                </c:pt>
                <c:pt idx="52">
                  <c:v>2.9648000000000012</c:v>
                </c:pt>
                <c:pt idx="53">
                  <c:v>2.9670000000000014</c:v>
                </c:pt>
                <c:pt idx="54">
                  <c:v>2.9692000000000016</c:v>
                </c:pt>
                <c:pt idx="55">
                  <c:v>2.9714000000000018</c:v>
                </c:pt>
                <c:pt idx="56">
                  <c:v>2.973600000000002</c:v>
                </c:pt>
                <c:pt idx="57">
                  <c:v>2.9758000000000022</c:v>
                </c:pt>
                <c:pt idx="58">
                  <c:v>2.9780000000000024</c:v>
                </c:pt>
                <c:pt idx="59">
                  <c:v>2.9802000000000026</c:v>
                </c:pt>
                <c:pt idx="60">
                  <c:v>2.9824000000000028</c:v>
                </c:pt>
                <c:pt idx="61">
                  <c:v>2.984600000000003</c:v>
                </c:pt>
                <c:pt idx="62">
                  <c:v>2.9868000000000032</c:v>
                </c:pt>
                <c:pt idx="63">
                  <c:v>2.9890000000000034</c:v>
                </c:pt>
                <c:pt idx="64">
                  <c:v>2.9912000000000036</c:v>
                </c:pt>
                <c:pt idx="65">
                  <c:v>2.9934000000000038</c:v>
                </c:pt>
                <c:pt idx="66">
                  <c:v>2.995600000000004</c:v>
                </c:pt>
                <c:pt idx="67">
                  <c:v>2.9978000000000042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  <c:pt idx="116">
                  <c:v>6.4</c:v>
                </c:pt>
                <c:pt idx="117">
                  <c:v>6.8</c:v>
                </c:pt>
                <c:pt idx="118">
                  <c:v>7.2</c:v>
                </c:pt>
                <c:pt idx="119">
                  <c:v>7.6</c:v>
                </c:pt>
                <c:pt idx="120">
                  <c:v>8</c:v>
                </c:pt>
                <c:pt idx="121">
                  <c:v>8.4</c:v>
                </c:pt>
                <c:pt idx="122">
                  <c:v>8.8000000000000007</c:v>
                </c:pt>
                <c:pt idx="123">
                  <c:v>9.1999999999999993</c:v>
                </c:pt>
                <c:pt idx="124">
                  <c:v>9.6</c:v>
                </c:pt>
                <c:pt idx="125">
                  <c:v>10</c:v>
                </c:pt>
              </c:numCache>
            </c:numRef>
          </c:xVal>
          <c:yVal>
            <c:numRef>
              <c:f>'Spettri x'!$BB$15:$BB$140</c:f>
              <c:numCache>
                <c:formatCode>0.00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1.4770094385138677</c:v>
                </c:pt>
                <c:pt idx="3">
                  <c:v>8.3861551864531947</c:v>
                </c:pt>
                <c:pt idx="4">
                  <c:v>18.868849169519684</c:v>
                </c:pt>
                <c:pt idx="5">
                  <c:v>33.544620745812757</c:v>
                </c:pt>
                <c:pt idx="6">
                  <c:v>52.413469915332435</c:v>
                </c:pt>
                <c:pt idx="7">
                  <c:v>75.475396678078738</c:v>
                </c:pt>
                <c:pt idx="8">
                  <c:v>83.693070782968064</c:v>
                </c:pt>
                <c:pt idx="9">
                  <c:v>91.910744887857405</c:v>
                </c:pt>
                <c:pt idx="10">
                  <c:v>100.12841899274673</c:v>
                </c:pt>
                <c:pt idx="11">
                  <c:v>108.34609309763609</c:v>
                </c:pt>
                <c:pt idx="12">
                  <c:v>116.56376720252544</c:v>
                </c:pt>
                <c:pt idx="13">
                  <c:v>124.78144130741475</c:v>
                </c:pt>
                <c:pt idx="14">
                  <c:v>132.99911541230409</c:v>
                </c:pt>
                <c:pt idx="15">
                  <c:v>141.21678951719343</c:v>
                </c:pt>
                <c:pt idx="16">
                  <c:v>149.43446362208277</c:v>
                </c:pt>
                <c:pt idx="17">
                  <c:v>157.65213772697211</c:v>
                </c:pt>
                <c:pt idx="18">
                  <c:v>165.86981183186148</c:v>
                </c:pt>
                <c:pt idx="19">
                  <c:v>174.0874859367508</c:v>
                </c:pt>
                <c:pt idx="20">
                  <c:v>182.30516004164011</c:v>
                </c:pt>
                <c:pt idx="21">
                  <c:v>190.52283414652945</c:v>
                </c:pt>
                <c:pt idx="22">
                  <c:v>198.74050825141885</c:v>
                </c:pt>
                <c:pt idx="23">
                  <c:v>206.95818235630816</c:v>
                </c:pt>
                <c:pt idx="24">
                  <c:v>215.17585646119753</c:v>
                </c:pt>
                <c:pt idx="25">
                  <c:v>223.39353056608684</c:v>
                </c:pt>
                <c:pt idx="26">
                  <c:v>231.61120467097621</c:v>
                </c:pt>
                <c:pt idx="27">
                  <c:v>239.82887877586555</c:v>
                </c:pt>
                <c:pt idx="28">
                  <c:v>239.82887877586555</c:v>
                </c:pt>
                <c:pt idx="29">
                  <c:v>248.04655288075486</c:v>
                </c:pt>
                <c:pt idx="30">
                  <c:v>256.2642269856442</c:v>
                </c:pt>
                <c:pt idx="31">
                  <c:v>264.4819010905336</c:v>
                </c:pt>
                <c:pt idx="32">
                  <c:v>272.69957519542288</c:v>
                </c:pt>
                <c:pt idx="33">
                  <c:v>280.91724930031228</c:v>
                </c:pt>
                <c:pt idx="34">
                  <c:v>289.13492340520162</c:v>
                </c:pt>
                <c:pt idx="35">
                  <c:v>297.35259751009102</c:v>
                </c:pt>
                <c:pt idx="36">
                  <c:v>305.57027161498036</c:v>
                </c:pt>
                <c:pt idx="37">
                  <c:v>313.7879457198697</c:v>
                </c:pt>
                <c:pt idx="38">
                  <c:v>322.00561982475909</c:v>
                </c:pt>
                <c:pt idx="39">
                  <c:v>330.22329392964843</c:v>
                </c:pt>
                <c:pt idx="40">
                  <c:v>338.44096803453783</c:v>
                </c:pt>
                <c:pt idx="41">
                  <c:v>346.65864213942717</c:v>
                </c:pt>
                <c:pt idx="42">
                  <c:v>354.87631624431663</c:v>
                </c:pt>
                <c:pt idx="43">
                  <c:v>363.09399034920591</c:v>
                </c:pt>
                <c:pt idx="44">
                  <c:v>371.31166445409531</c:v>
                </c:pt>
                <c:pt idx="45">
                  <c:v>379.5293385589847</c:v>
                </c:pt>
                <c:pt idx="46">
                  <c:v>387.74701266387405</c:v>
                </c:pt>
                <c:pt idx="47">
                  <c:v>395.9646867687635</c:v>
                </c:pt>
                <c:pt idx="48">
                  <c:v>404.18236087365239</c:v>
                </c:pt>
                <c:pt idx="49">
                  <c:v>404.18236087365239</c:v>
                </c:pt>
                <c:pt idx="50">
                  <c:v>404.18236087365239</c:v>
                </c:pt>
                <c:pt idx="51">
                  <c:v>404.18236087365239</c:v>
                </c:pt>
                <c:pt idx="52">
                  <c:v>404.18236087365244</c:v>
                </c:pt>
                <c:pt idx="53">
                  <c:v>404.18236087365239</c:v>
                </c:pt>
                <c:pt idx="54">
                  <c:v>404.18236087365239</c:v>
                </c:pt>
                <c:pt idx="55">
                  <c:v>404.18236087365239</c:v>
                </c:pt>
                <c:pt idx="56">
                  <c:v>404.18236087365239</c:v>
                </c:pt>
                <c:pt idx="57">
                  <c:v>404.18236087365239</c:v>
                </c:pt>
                <c:pt idx="58">
                  <c:v>404.18236087365233</c:v>
                </c:pt>
                <c:pt idx="59">
                  <c:v>404.18236087365244</c:v>
                </c:pt>
                <c:pt idx="60">
                  <c:v>404.18236087365239</c:v>
                </c:pt>
                <c:pt idx="61">
                  <c:v>404.18236087365244</c:v>
                </c:pt>
                <c:pt idx="62">
                  <c:v>404.18236087365239</c:v>
                </c:pt>
                <c:pt idx="63">
                  <c:v>404.18236087365239</c:v>
                </c:pt>
                <c:pt idx="64">
                  <c:v>404.18236087365239</c:v>
                </c:pt>
                <c:pt idx="65">
                  <c:v>404.18236087365239</c:v>
                </c:pt>
                <c:pt idx="66">
                  <c:v>404.18236087365244</c:v>
                </c:pt>
                <c:pt idx="67">
                  <c:v>404.18236087365239</c:v>
                </c:pt>
                <c:pt idx="68">
                  <c:v>404.18236087365239</c:v>
                </c:pt>
                <c:pt idx="69">
                  <c:v>404.18236087365239</c:v>
                </c:pt>
                <c:pt idx="70">
                  <c:v>404.18236087365239</c:v>
                </c:pt>
                <c:pt idx="71">
                  <c:v>404.18236087365239</c:v>
                </c:pt>
                <c:pt idx="72">
                  <c:v>404.18236087365239</c:v>
                </c:pt>
                <c:pt idx="73">
                  <c:v>404.18236087365239</c:v>
                </c:pt>
                <c:pt idx="74">
                  <c:v>404.18236087365239</c:v>
                </c:pt>
                <c:pt idx="75">
                  <c:v>404.18236087365239</c:v>
                </c:pt>
                <c:pt idx="76">
                  <c:v>404.18236087365239</c:v>
                </c:pt>
                <c:pt idx="77">
                  <c:v>404.18236087365239</c:v>
                </c:pt>
                <c:pt idx="78">
                  <c:v>404.18236087365239</c:v>
                </c:pt>
                <c:pt idx="79">
                  <c:v>404.18236087365239</c:v>
                </c:pt>
                <c:pt idx="80">
                  <c:v>404.18236087365239</c:v>
                </c:pt>
                <c:pt idx="81">
                  <c:v>404.18236087365239</c:v>
                </c:pt>
                <c:pt idx="82">
                  <c:v>404.18236087365239</c:v>
                </c:pt>
                <c:pt idx="83">
                  <c:v>404.18236087365239</c:v>
                </c:pt>
                <c:pt idx="84">
                  <c:v>404.18236087365239</c:v>
                </c:pt>
                <c:pt idx="85">
                  <c:v>404.18236087365239</c:v>
                </c:pt>
                <c:pt idx="86">
                  <c:v>404.18236087365239</c:v>
                </c:pt>
                <c:pt idx="87">
                  <c:v>404.18236087365239</c:v>
                </c:pt>
                <c:pt idx="88">
                  <c:v>404.18236087365239</c:v>
                </c:pt>
                <c:pt idx="89">
                  <c:v>404.18236087365239</c:v>
                </c:pt>
                <c:pt idx="90">
                  <c:v>404.18236087365244</c:v>
                </c:pt>
                <c:pt idx="91">
                  <c:v>404.18236087365239</c:v>
                </c:pt>
                <c:pt idx="92">
                  <c:v>404.18236087365239</c:v>
                </c:pt>
                <c:pt idx="93">
                  <c:v>404.18236087365239</c:v>
                </c:pt>
                <c:pt idx="94">
                  <c:v>404.18236087365233</c:v>
                </c:pt>
                <c:pt idx="95">
                  <c:v>404.18236087365244</c:v>
                </c:pt>
                <c:pt idx="96">
                  <c:v>404.18236087365239</c:v>
                </c:pt>
                <c:pt idx="97">
                  <c:v>404.18236087365244</c:v>
                </c:pt>
                <c:pt idx="98">
                  <c:v>404.18236087365239</c:v>
                </c:pt>
                <c:pt idx="99">
                  <c:v>404.18236087365239</c:v>
                </c:pt>
                <c:pt idx="100">
                  <c:v>404.18236087365239</c:v>
                </c:pt>
                <c:pt idx="101">
                  <c:v>404.18236087365244</c:v>
                </c:pt>
                <c:pt idx="102">
                  <c:v>404.18236087365239</c:v>
                </c:pt>
                <c:pt idx="103">
                  <c:v>404.18236087365244</c:v>
                </c:pt>
                <c:pt idx="104">
                  <c:v>404.18236087365239</c:v>
                </c:pt>
                <c:pt idx="105">
                  <c:v>404.18236087365244</c:v>
                </c:pt>
                <c:pt idx="106">
                  <c:v>404.18236087365233</c:v>
                </c:pt>
                <c:pt idx="107">
                  <c:v>404.18236087365244</c:v>
                </c:pt>
                <c:pt idx="108">
                  <c:v>404.18236087365239</c:v>
                </c:pt>
                <c:pt idx="109">
                  <c:v>404.18236087365244</c:v>
                </c:pt>
                <c:pt idx="110">
                  <c:v>404.18236087365233</c:v>
                </c:pt>
                <c:pt idx="111">
                  <c:v>404.18236087365239</c:v>
                </c:pt>
                <c:pt idx="112">
                  <c:v>404.18236087365239</c:v>
                </c:pt>
                <c:pt idx="113">
                  <c:v>404.18236087365239</c:v>
                </c:pt>
                <c:pt idx="114">
                  <c:v>404.18236087365244</c:v>
                </c:pt>
                <c:pt idx="115">
                  <c:v>404.18236087365239</c:v>
                </c:pt>
                <c:pt idx="116">
                  <c:v>380.29510069113996</c:v>
                </c:pt>
                <c:pt idx="117">
                  <c:v>356.4078405086276</c:v>
                </c:pt>
                <c:pt idx="118">
                  <c:v>332.52058032611524</c:v>
                </c:pt>
                <c:pt idx="119">
                  <c:v>308.63332014360293</c:v>
                </c:pt>
                <c:pt idx="120">
                  <c:v>284.74605996109051</c:v>
                </c:pt>
                <c:pt idx="121">
                  <c:v>260.85879977857809</c:v>
                </c:pt>
                <c:pt idx="122">
                  <c:v>236.97153959606572</c:v>
                </c:pt>
                <c:pt idx="123">
                  <c:v>213.08427941355339</c:v>
                </c:pt>
                <c:pt idx="124">
                  <c:v>189.197019231041</c:v>
                </c:pt>
                <c:pt idx="125">
                  <c:v>165.3097590485286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91E-45DF-A30D-1C98CA491B1B}"/>
            </c:ext>
          </c:extLst>
        </c:ser>
        <c:ser>
          <c:idx val="1"/>
          <c:order val="2"/>
          <c:tx>
            <c:v>SLV</c:v>
          </c:tx>
          <c:spPr>
            <a:ln w="19050"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'Spettri x'!$AU$15:$AU$140</c:f>
              <c:numCache>
                <c:formatCode>0.000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8.8259349900035824E-2</c:v>
                </c:pt>
                <c:pt idx="3">
                  <c:v>0.17651869980007165</c:v>
                </c:pt>
                <c:pt idx="4">
                  <c:v>0.26477804970010749</c:v>
                </c:pt>
                <c:pt idx="5">
                  <c:v>0.35303739960014335</c:v>
                </c:pt>
                <c:pt idx="6">
                  <c:v>0.44129674950017916</c:v>
                </c:pt>
                <c:pt idx="7">
                  <c:v>0.52955609940021497</c:v>
                </c:pt>
                <c:pt idx="8">
                  <c:v>0.58131719691520956</c:v>
                </c:pt>
                <c:pt idx="9">
                  <c:v>0.63307829443020414</c:v>
                </c:pt>
                <c:pt idx="10">
                  <c:v>0.68483939194519872</c:v>
                </c:pt>
                <c:pt idx="11">
                  <c:v>0.7366004894601933</c:v>
                </c:pt>
                <c:pt idx="12">
                  <c:v>0.78836158697518788</c:v>
                </c:pt>
                <c:pt idx="13">
                  <c:v>0.84012268449018246</c:v>
                </c:pt>
                <c:pt idx="14">
                  <c:v>0.89188378200517704</c:v>
                </c:pt>
                <c:pt idx="15">
                  <c:v>0.94364487952017162</c:v>
                </c:pt>
                <c:pt idx="16">
                  <c:v>0.9954059770351662</c:v>
                </c:pt>
                <c:pt idx="17">
                  <c:v>1.0471670745501609</c:v>
                </c:pt>
                <c:pt idx="18">
                  <c:v>1.0989281720651556</c:v>
                </c:pt>
                <c:pt idx="19">
                  <c:v>1.1506892695801503</c:v>
                </c:pt>
                <c:pt idx="20">
                  <c:v>1.202450367095145</c:v>
                </c:pt>
                <c:pt idx="21">
                  <c:v>1.2542114646101397</c:v>
                </c:pt>
                <c:pt idx="22">
                  <c:v>1.3059725621251344</c:v>
                </c:pt>
                <c:pt idx="23">
                  <c:v>1.357733659640129</c:v>
                </c:pt>
                <c:pt idx="24">
                  <c:v>1.4094947571551237</c:v>
                </c:pt>
                <c:pt idx="25">
                  <c:v>1.4612558546701184</c:v>
                </c:pt>
                <c:pt idx="26">
                  <c:v>1.5130169521851131</c:v>
                </c:pt>
                <c:pt idx="27">
                  <c:v>1.5647780497001076</c:v>
                </c:pt>
                <c:pt idx="28">
                  <c:v>1.5647780497001076</c:v>
                </c:pt>
                <c:pt idx="29">
                  <c:v>1.6165391472151023</c:v>
                </c:pt>
                <c:pt idx="30">
                  <c:v>1.668300244730097</c:v>
                </c:pt>
                <c:pt idx="31">
                  <c:v>1.7200613422450917</c:v>
                </c:pt>
                <c:pt idx="32">
                  <c:v>1.7718224397600864</c:v>
                </c:pt>
                <c:pt idx="33">
                  <c:v>1.823583537275081</c:v>
                </c:pt>
                <c:pt idx="34">
                  <c:v>1.8753446347900757</c:v>
                </c:pt>
                <c:pt idx="35">
                  <c:v>1.9271057323050704</c:v>
                </c:pt>
                <c:pt idx="36">
                  <c:v>1.9788668298200651</c:v>
                </c:pt>
                <c:pt idx="37">
                  <c:v>2.0306279273350598</c:v>
                </c:pt>
                <c:pt idx="38">
                  <c:v>2.0823890248500545</c:v>
                </c:pt>
                <c:pt idx="39">
                  <c:v>2.1341501223650492</c:v>
                </c:pt>
                <c:pt idx="40">
                  <c:v>2.1859112198800439</c:v>
                </c:pt>
                <c:pt idx="41">
                  <c:v>2.2376723173950386</c:v>
                </c:pt>
                <c:pt idx="42">
                  <c:v>2.2894334149100333</c:v>
                </c:pt>
                <c:pt idx="43">
                  <c:v>2.341194512425028</c:v>
                </c:pt>
                <c:pt idx="44">
                  <c:v>2.3929556099400227</c:v>
                </c:pt>
                <c:pt idx="45">
                  <c:v>2.4447167074550173</c:v>
                </c:pt>
                <c:pt idx="46">
                  <c:v>2.496477804970012</c:v>
                </c:pt>
                <c:pt idx="47">
                  <c:v>2.5482389024850067</c:v>
                </c:pt>
                <c:pt idx="48">
                  <c:v>2.6</c:v>
                </c:pt>
                <c:pt idx="49">
                  <c:v>2.62</c:v>
                </c:pt>
                <c:pt idx="50">
                  <c:v>2.64</c:v>
                </c:pt>
                <c:pt idx="51">
                  <c:v>2.66</c:v>
                </c:pt>
                <c:pt idx="52">
                  <c:v>2.68</c:v>
                </c:pt>
                <c:pt idx="53">
                  <c:v>2.7</c:v>
                </c:pt>
                <c:pt idx="54">
                  <c:v>2.72</c:v>
                </c:pt>
                <c:pt idx="55">
                  <c:v>2.74</c:v>
                </c:pt>
                <c:pt idx="56">
                  <c:v>2.7600000000000002</c:v>
                </c:pt>
                <c:pt idx="57">
                  <c:v>2.7800000000000002</c:v>
                </c:pt>
                <c:pt idx="58">
                  <c:v>2.8000000000000003</c:v>
                </c:pt>
                <c:pt idx="59">
                  <c:v>2.8200000000000003</c:v>
                </c:pt>
                <c:pt idx="60">
                  <c:v>2.8400000000000003</c:v>
                </c:pt>
                <c:pt idx="61">
                  <c:v>2.8600000000000003</c:v>
                </c:pt>
                <c:pt idx="62">
                  <c:v>2.8800000000000003</c:v>
                </c:pt>
                <c:pt idx="63">
                  <c:v>2.9000000000000004</c:v>
                </c:pt>
                <c:pt idx="64">
                  <c:v>2.9200000000000004</c:v>
                </c:pt>
                <c:pt idx="65">
                  <c:v>2.9400000000000004</c:v>
                </c:pt>
                <c:pt idx="66">
                  <c:v>2.9600000000000004</c:v>
                </c:pt>
                <c:pt idx="67">
                  <c:v>2.9800000000000004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  <c:pt idx="116">
                  <c:v>6.4</c:v>
                </c:pt>
                <c:pt idx="117">
                  <c:v>6.8</c:v>
                </c:pt>
                <c:pt idx="118">
                  <c:v>7.2</c:v>
                </c:pt>
                <c:pt idx="119">
                  <c:v>7.6</c:v>
                </c:pt>
                <c:pt idx="120">
                  <c:v>8</c:v>
                </c:pt>
                <c:pt idx="121">
                  <c:v>8.4</c:v>
                </c:pt>
                <c:pt idx="122">
                  <c:v>8.8000000000000007</c:v>
                </c:pt>
                <c:pt idx="123">
                  <c:v>9.1999999999999993</c:v>
                </c:pt>
                <c:pt idx="124">
                  <c:v>9.6</c:v>
                </c:pt>
                <c:pt idx="125">
                  <c:v>10</c:v>
                </c:pt>
              </c:numCache>
            </c:numRef>
          </c:xVal>
          <c:yVal>
            <c:numRef>
              <c:f>'Spettri x'!$AX$15:$AX$140</c:f>
              <c:numCache>
                <c:formatCode>0.00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1.104367167173713</c:v>
                </c:pt>
                <c:pt idx="3">
                  <c:v>6.2440466226126645</c:v>
                </c:pt>
                <c:pt idx="4">
                  <c:v>14.049104900878497</c:v>
                </c:pt>
                <c:pt idx="5">
                  <c:v>24.976186490450669</c:v>
                </c:pt>
                <c:pt idx="6">
                  <c:v>39.025291391329162</c:v>
                </c:pt>
                <c:pt idx="7">
                  <c:v>56.196419603513988</c:v>
                </c:pt>
                <c:pt idx="8">
                  <c:v>61.689300071486294</c:v>
                </c:pt>
                <c:pt idx="9">
                  <c:v>67.182180539458599</c:v>
                </c:pt>
                <c:pt idx="10">
                  <c:v>72.675061007430898</c:v>
                </c:pt>
                <c:pt idx="11">
                  <c:v>78.167941475403211</c:v>
                </c:pt>
                <c:pt idx="12">
                  <c:v>83.660821943375495</c:v>
                </c:pt>
                <c:pt idx="13">
                  <c:v>89.153702411347794</c:v>
                </c:pt>
                <c:pt idx="14">
                  <c:v>94.646582879320121</c:v>
                </c:pt>
                <c:pt idx="15">
                  <c:v>100.13946334729242</c:v>
                </c:pt>
                <c:pt idx="16">
                  <c:v>105.63234381526472</c:v>
                </c:pt>
                <c:pt idx="17">
                  <c:v>111.12522428323705</c:v>
                </c:pt>
                <c:pt idx="18">
                  <c:v>116.61810475120937</c:v>
                </c:pt>
                <c:pt idx="19">
                  <c:v>122.11098521918167</c:v>
                </c:pt>
                <c:pt idx="20">
                  <c:v>127.603865687154</c:v>
                </c:pt>
                <c:pt idx="21">
                  <c:v>133.09674615512628</c:v>
                </c:pt>
                <c:pt idx="22">
                  <c:v>138.58962662309861</c:v>
                </c:pt>
                <c:pt idx="23">
                  <c:v>144.08250709107091</c:v>
                </c:pt>
                <c:pt idx="24">
                  <c:v>149.57538755904324</c:v>
                </c:pt>
                <c:pt idx="25">
                  <c:v>155.06826802701556</c:v>
                </c:pt>
                <c:pt idx="26">
                  <c:v>160.56114849498786</c:v>
                </c:pt>
                <c:pt idx="27">
                  <c:v>166.05402896296016</c:v>
                </c:pt>
                <c:pt idx="28">
                  <c:v>166.05402896296016</c:v>
                </c:pt>
                <c:pt idx="29">
                  <c:v>171.54690943093249</c:v>
                </c:pt>
                <c:pt idx="30">
                  <c:v>177.03978989890481</c:v>
                </c:pt>
                <c:pt idx="31">
                  <c:v>182.53267036687711</c:v>
                </c:pt>
                <c:pt idx="32">
                  <c:v>188.02555083484944</c:v>
                </c:pt>
                <c:pt idx="33">
                  <c:v>193.51843130282174</c:v>
                </c:pt>
                <c:pt idx="34">
                  <c:v>199.01131177079407</c:v>
                </c:pt>
                <c:pt idx="35">
                  <c:v>204.50419223876639</c:v>
                </c:pt>
                <c:pt idx="36">
                  <c:v>209.99707270673869</c:v>
                </c:pt>
                <c:pt idx="37">
                  <c:v>215.48995317471099</c:v>
                </c:pt>
                <c:pt idx="38">
                  <c:v>220.98283364268332</c:v>
                </c:pt>
                <c:pt idx="39">
                  <c:v>226.47571411065562</c:v>
                </c:pt>
                <c:pt idx="40">
                  <c:v>231.96859457862794</c:v>
                </c:pt>
                <c:pt idx="41">
                  <c:v>237.46147504660027</c:v>
                </c:pt>
                <c:pt idx="42">
                  <c:v>242.9543555145726</c:v>
                </c:pt>
                <c:pt idx="43">
                  <c:v>248.44723598254487</c:v>
                </c:pt>
                <c:pt idx="44">
                  <c:v>253.94011645051719</c:v>
                </c:pt>
                <c:pt idx="45">
                  <c:v>259.43299691848949</c:v>
                </c:pt>
                <c:pt idx="46">
                  <c:v>264.92587738646188</c:v>
                </c:pt>
                <c:pt idx="47">
                  <c:v>270.41875785443415</c:v>
                </c:pt>
                <c:pt idx="48">
                  <c:v>275.9116383224063</c:v>
                </c:pt>
                <c:pt idx="49">
                  <c:v>275.9116383224063</c:v>
                </c:pt>
                <c:pt idx="50">
                  <c:v>275.9116383224063</c:v>
                </c:pt>
                <c:pt idx="51">
                  <c:v>275.9116383224063</c:v>
                </c:pt>
                <c:pt idx="52">
                  <c:v>275.9116383224063</c:v>
                </c:pt>
                <c:pt idx="53">
                  <c:v>275.9116383224063</c:v>
                </c:pt>
                <c:pt idx="54">
                  <c:v>275.9116383224063</c:v>
                </c:pt>
                <c:pt idx="55">
                  <c:v>275.9116383224063</c:v>
                </c:pt>
                <c:pt idx="56">
                  <c:v>275.9116383224063</c:v>
                </c:pt>
                <c:pt idx="57">
                  <c:v>275.9116383224063</c:v>
                </c:pt>
                <c:pt idx="58">
                  <c:v>275.9116383224063</c:v>
                </c:pt>
                <c:pt idx="59">
                  <c:v>275.9116383224063</c:v>
                </c:pt>
                <c:pt idx="60">
                  <c:v>275.9116383224063</c:v>
                </c:pt>
                <c:pt idx="61">
                  <c:v>275.9116383224063</c:v>
                </c:pt>
                <c:pt idx="62">
                  <c:v>275.91163832240636</c:v>
                </c:pt>
                <c:pt idx="63">
                  <c:v>275.9116383224063</c:v>
                </c:pt>
                <c:pt idx="64">
                  <c:v>275.9116383224063</c:v>
                </c:pt>
                <c:pt idx="65">
                  <c:v>275.9116383224063</c:v>
                </c:pt>
                <c:pt idx="66">
                  <c:v>275.9116383224063</c:v>
                </c:pt>
                <c:pt idx="67">
                  <c:v>275.9116383224063</c:v>
                </c:pt>
                <c:pt idx="68">
                  <c:v>275.9116383224063</c:v>
                </c:pt>
                <c:pt idx="69">
                  <c:v>275.9116383224063</c:v>
                </c:pt>
                <c:pt idx="70">
                  <c:v>275.9116383224063</c:v>
                </c:pt>
                <c:pt idx="71">
                  <c:v>275.9116383224063</c:v>
                </c:pt>
                <c:pt idx="72">
                  <c:v>275.9116383224063</c:v>
                </c:pt>
                <c:pt idx="73">
                  <c:v>275.9116383224063</c:v>
                </c:pt>
                <c:pt idx="74">
                  <c:v>275.9116383224063</c:v>
                </c:pt>
                <c:pt idx="75">
                  <c:v>275.9116383224063</c:v>
                </c:pt>
                <c:pt idx="76">
                  <c:v>275.9116383224063</c:v>
                </c:pt>
                <c:pt idx="77">
                  <c:v>275.9116383224063</c:v>
                </c:pt>
                <c:pt idx="78">
                  <c:v>275.9116383224063</c:v>
                </c:pt>
                <c:pt idx="79">
                  <c:v>275.9116383224063</c:v>
                </c:pt>
                <c:pt idx="80">
                  <c:v>275.9116383224063</c:v>
                </c:pt>
                <c:pt idx="81">
                  <c:v>275.9116383224063</c:v>
                </c:pt>
                <c:pt idx="82">
                  <c:v>275.9116383224063</c:v>
                </c:pt>
                <c:pt idx="83">
                  <c:v>275.9116383224063</c:v>
                </c:pt>
                <c:pt idx="84">
                  <c:v>275.9116383224063</c:v>
                </c:pt>
                <c:pt idx="85">
                  <c:v>275.9116383224063</c:v>
                </c:pt>
                <c:pt idx="86">
                  <c:v>275.9116383224063</c:v>
                </c:pt>
                <c:pt idx="87">
                  <c:v>275.9116383224063</c:v>
                </c:pt>
                <c:pt idx="88">
                  <c:v>275.9116383224063</c:v>
                </c:pt>
                <c:pt idx="89">
                  <c:v>275.9116383224063</c:v>
                </c:pt>
                <c:pt idx="90">
                  <c:v>275.9116383224063</c:v>
                </c:pt>
                <c:pt idx="91">
                  <c:v>275.9116383224063</c:v>
                </c:pt>
                <c:pt idx="92">
                  <c:v>275.9116383224063</c:v>
                </c:pt>
                <c:pt idx="93">
                  <c:v>275.9116383224063</c:v>
                </c:pt>
                <c:pt idx="94">
                  <c:v>275.9116383224063</c:v>
                </c:pt>
                <c:pt idx="95">
                  <c:v>275.9116383224063</c:v>
                </c:pt>
                <c:pt idx="96">
                  <c:v>275.91163832240636</c:v>
                </c:pt>
                <c:pt idx="97">
                  <c:v>275.9116383224063</c:v>
                </c:pt>
                <c:pt idx="98">
                  <c:v>275.9116383224063</c:v>
                </c:pt>
                <c:pt idx="99">
                  <c:v>275.9116383224063</c:v>
                </c:pt>
                <c:pt idx="100">
                  <c:v>275.9116383224063</c:v>
                </c:pt>
                <c:pt idx="101">
                  <c:v>275.9116383224063</c:v>
                </c:pt>
                <c:pt idx="102">
                  <c:v>275.9116383224063</c:v>
                </c:pt>
                <c:pt idx="103">
                  <c:v>275.9116383224063</c:v>
                </c:pt>
                <c:pt idx="104">
                  <c:v>275.9116383224063</c:v>
                </c:pt>
                <c:pt idx="105">
                  <c:v>275.9116383224063</c:v>
                </c:pt>
                <c:pt idx="106">
                  <c:v>275.9116383224063</c:v>
                </c:pt>
                <c:pt idx="107">
                  <c:v>275.9116383224063</c:v>
                </c:pt>
                <c:pt idx="108">
                  <c:v>275.9116383224063</c:v>
                </c:pt>
                <c:pt idx="109">
                  <c:v>275.9116383224063</c:v>
                </c:pt>
                <c:pt idx="110">
                  <c:v>275.9116383224063</c:v>
                </c:pt>
                <c:pt idx="111">
                  <c:v>275.9116383224063</c:v>
                </c:pt>
                <c:pt idx="112">
                  <c:v>275.9116383224063</c:v>
                </c:pt>
                <c:pt idx="113">
                  <c:v>275.9116383224063</c:v>
                </c:pt>
                <c:pt idx="114">
                  <c:v>275.9116383224063</c:v>
                </c:pt>
                <c:pt idx="115">
                  <c:v>275.9116383224063</c:v>
                </c:pt>
                <c:pt idx="116">
                  <c:v>259.76909018819089</c:v>
                </c:pt>
                <c:pt idx="117">
                  <c:v>243.62654205397541</c:v>
                </c:pt>
                <c:pt idx="118">
                  <c:v>227.48399391975994</c:v>
                </c:pt>
                <c:pt idx="119">
                  <c:v>211.34144578554444</c:v>
                </c:pt>
                <c:pt idx="120">
                  <c:v>195.19889765132896</c:v>
                </c:pt>
                <c:pt idx="121">
                  <c:v>179.05634951711349</c:v>
                </c:pt>
                <c:pt idx="122">
                  <c:v>162.91380138289799</c:v>
                </c:pt>
                <c:pt idx="123">
                  <c:v>146.77125324868257</c:v>
                </c:pt>
                <c:pt idx="124">
                  <c:v>130.6287051144671</c:v>
                </c:pt>
                <c:pt idx="125">
                  <c:v>114.48615698025159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91E-45DF-A30D-1C98CA491B1B}"/>
            </c:ext>
          </c:extLst>
        </c:ser>
        <c:ser>
          <c:idx val="2"/>
          <c:order val="3"/>
          <c:tx>
            <c:v>SLD</c:v>
          </c:tx>
          <c:spPr>
            <a:ln w="12700"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'Spettri x'!$AQ$15:$AQ$140</c:f>
              <c:numCache>
                <c:formatCode>0.000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7.6708688772966063E-2</c:v>
                </c:pt>
                <c:pt idx="3">
                  <c:v>0.15341737754593213</c:v>
                </c:pt>
                <c:pt idx="4">
                  <c:v>0.23012606631889818</c:v>
                </c:pt>
                <c:pt idx="5">
                  <c:v>0.3068347550918642</c:v>
                </c:pt>
                <c:pt idx="6">
                  <c:v>0.38354344386483025</c:v>
                </c:pt>
                <c:pt idx="7">
                  <c:v>0.46025213263779635</c:v>
                </c:pt>
                <c:pt idx="8">
                  <c:v>0.49694582932185144</c:v>
                </c:pt>
                <c:pt idx="9">
                  <c:v>0.53363952600590658</c:v>
                </c:pt>
                <c:pt idx="10">
                  <c:v>0.57033322268996167</c:v>
                </c:pt>
                <c:pt idx="11">
                  <c:v>0.60702691937401676</c:v>
                </c:pt>
                <c:pt idx="12">
                  <c:v>0.64372061605807185</c:v>
                </c:pt>
                <c:pt idx="13">
                  <c:v>0.68041431274212694</c:v>
                </c:pt>
                <c:pt idx="14">
                  <c:v>0.71710800942618202</c:v>
                </c:pt>
                <c:pt idx="15">
                  <c:v>0.75380170611023711</c:v>
                </c:pt>
                <c:pt idx="16">
                  <c:v>0.7904954027942922</c:v>
                </c:pt>
                <c:pt idx="17">
                  <c:v>0.82718909947834729</c:v>
                </c:pt>
                <c:pt idx="18">
                  <c:v>0.86388279616240238</c:v>
                </c:pt>
                <c:pt idx="19">
                  <c:v>0.90057649284645747</c:v>
                </c:pt>
                <c:pt idx="20">
                  <c:v>0.93727018953051255</c:v>
                </c:pt>
                <c:pt idx="21">
                  <c:v>0.97396388621456764</c:v>
                </c:pt>
                <c:pt idx="22">
                  <c:v>1.0106575828986228</c:v>
                </c:pt>
                <c:pt idx="23">
                  <c:v>1.0473512795826778</c:v>
                </c:pt>
                <c:pt idx="24">
                  <c:v>1.0840449762667328</c:v>
                </c:pt>
                <c:pt idx="25">
                  <c:v>1.1207386729507878</c:v>
                </c:pt>
                <c:pt idx="26">
                  <c:v>1.1574323696348428</c:v>
                </c:pt>
                <c:pt idx="27">
                  <c:v>1.1941260663188982</c:v>
                </c:pt>
                <c:pt idx="28">
                  <c:v>1.1941260663188982</c:v>
                </c:pt>
                <c:pt idx="29">
                  <c:v>1.2308197630029534</c:v>
                </c:pt>
                <c:pt idx="30">
                  <c:v>1.2675134596870086</c:v>
                </c:pt>
                <c:pt idx="31">
                  <c:v>1.3042071563710638</c:v>
                </c:pt>
                <c:pt idx="32">
                  <c:v>1.340900853055119</c:v>
                </c:pt>
                <c:pt idx="33">
                  <c:v>1.3775945497391742</c:v>
                </c:pt>
                <c:pt idx="34">
                  <c:v>1.4142882464232294</c:v>
                </c:pt>
                <c:pt idx="35">
                  <c:v>1.4509819431072846</c:v>
                </c:pt>
                <c:pt idx="36">
                  <c:v>1.4876756397913398</c:v>
                </c:pt>
                <c:pt idx="37">
                  <c:v>1.524369336475395</c:v>
                </c:pt>
                <c:pt idx="38">
                  <c:v>1.5610630331594502</c:v>
                </c:pt>
                <c:pt idx="39">
                  <c:v>1.5977567298435054</c:v>
                </c:pt>
                <c:pt idx="40">
                  <c:v>1.6344504265275606</c:v>
                </c:pt>
                <c:pt idx="41">
                  <c:v>1.6711441232116158</c:v>
                </c:pt>
                <c:pt idx="42">
                  <c:v>1.707837819895671</c:v>
                </c:pt>
                <c:pt idx="43">
                  <c:v>1.7445315165797262</c:v>
                </c:pt>
                <c:pt idx="44">
                  <c:v>1.7812252132637814</c:v>
                </c:pt>
                <c:pt idx="45">
                  <c:v>1.8179189099478366</c:v>
                </c:pt>
                <c:pt idx="46">
                  <c:v>1.8546126066318918</c:v>
                </c:pt>
                <c:pt idx="47">
                  <c:v>1.891306303315947</c:v>
                </c:pt>
                <c:pt idx="48">
                  <c:v>1.9280000000000002</c:v>
                </c:pt>
                <c:pt idx="49">
                  <c:v>1.9816000000000003</c:v>
                </c:pt>
                <c:pt idx="50">
                  <c:v>2.0352000000000001</c:v>
                </c:pt>
                <c:pt idx="51">
                  <c:v>2.0888</c:v>
                </c:pt>
                <c:pt idx="52">
                  <c:v>2.1423999999999999</c:v>
                </c:pt>
                <c:pt idx="53">
                  <c:v>2.1959999999999997</c:v>
                </c:pt>
                <c:pt idx="54">
                  <c:v>2.2495999999999996</c:v>
                </c:pt>
                <c:pt idx="55">
                  <c:v>2.3031999999999995</c:v>
                </c:pt>
                <c:pt idx="56">
                  <c:v>2.3567999999999993</c:v>
                </c:pt>
                <c:pt idx="57">
                  <c:v>2.4103999999999992</c:v>
                </c:pt>
                <c:pt idx="58">
                  <c:v>2.4639999999999991</c:v>
                </c:pt>
                <c:pt idx="59">
                  <c:v>2.5175999999999989</c:v>
                </c:pt>
                <c:pt idx="60">
                  <c:v>2.5711999999999988</c:v>
                </c:pt>
                <c:pt idx="61">
                  <c:v>2.6247999999999987</c:v>
                </c:pt>
                <c:pt idx="62">
                  <c:v>2.6783999999999986</c:v>
                </c:pt>
                <c:pt idx="63">
                  <c:v>2.7319999999999984</c:v>
                </c:pt>
                <c:pt idx="64">
                  <c:v>2.7855999999999983</c:v>
                </c:pt>
                <c:pt idx="65">
                  <c:v>2.8391999999999982</c:v>
                </c:pt>
                <c:pt idx="66">
                  <c:v>2.892799999999998</c:v>
                </c:pt>
                <c:pt idx="67">
                  <c:v>2.9463999999999979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  <c:pt idx="116">
                  <c:v>6.4</c:v>
                </c:pt>
                <c:pt idx="117">
                  <c:v>6.8</c:v>
                </c:pt>
                <c:pt idx="118">
                  <c:v>7.2</c:v>
                </c:pt>
                <c:pt idx="119">
                  <c:v>7.6</c:v>
                </c:pt>
                <c:pt idx="120">
                  <c:v>8</c:v>
                </c:pt>
                <c:pt idx="121">
                  <c:v>8.4</c:v>
                </c:pt>
                <c:pt idx="122">
                  <c:v>8.8000000000000007</c:v>
                </c:pt>
                <c:pt idx="123">
                  <c:v>9.1999999999999993</c:v>
                </c:pt>
                <c:pt idx="124">
                  <c:v>9.6</c:v>
                </c:pt>
                <c:pt idx="125">
                  <c:v>10</c:v>
                </c:pt>
              </c:numCache>
            </c:numRef>
          </c:xVal>
          <c:yVal>
            <c:numRef>
              <c:f>'Spettri x'!$AT$15:$AT$140</c:f>
              <c:numCache>
                <c:formatCode>0.00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0.29818653376555521</c:v>
                </c:pt>
                <c:pt idx="3">
                  <c:v>1.6661037688806417</c:v>
                </c:pt>
                <c:pt idx="4">
                  <c:v>3.7487334799814431</c:v>
                </c:pt>
                <c:pt idx="5">
                  <c:v>6.6644150755225624</c:v>
                </c:pt>
                <c:pt idx="6">
                  <c:v>10.413148555504005</c:v>
                </c:pt>
                <c:pt idx="7">
                  <c:v>14.994933919925773</c:v>
                </c:pt>
                <c:pt idx="8">
                  <c:v>16.190408135116883</c:v>
                </c:pt>
                <c:pt idx="9">
                  <c:v>17.385882350307998</c:v>
                </c:pt>
                <c:pt idx="10">
                  <c:v>18.581356565499107</c:v>
                </c:pt>
                <c:pt idx="11">
                  <c:v>19.776830780690222</c:v>
                </c:pt>
                <c:pt idx="12">
                  <c:v>20.972304995881338</c:v>
                </c:pt>
                <c:pt idx="13">
                  <c:v>22.16777921107245</c:v>
                </c:pt>
                <c:pt idx="14">
                  <c:v>23.363253426263562</c:v>
                </c:pt>
                <c:pt idx="15">
                  <c:v>24.558727641454674</c:v>
                </c:pt>
                <c:pt idx="16">
                  <c:v>25.754201856645786</c:v>
                </c:pt>
                <c:pt idx="17">
                  <c:v>26.949676071836901</c:v>
                </c:pt>
                <c:pt idx="18">
                  <c:v>28.145150287028013</c:v>
                </c:pt>
                <c:pt idx="19">
                  <c:v>29.340624502219121</c:v>
                </c:pt>
                <c:pt idx="20">
                  <c:v>30.536098717410241</c:v>
                </c:pt>
                <c:pt idx="21">
                  <c:v>31.731572932601349</c:v>
                </c:pt>
                <c:pt idx="22">
                  <c:v>32.927047147792464</c:v>
                </c:pt>
                <c:pt idx="23">
                  <c:v>34.122521362983569</c:v>
                </c:pt>
                <c:pt idx="24">
                  <c:v>35.317995578174688</c:v>
                </c:pt>
                <c:pt idx="25">
                  <c:v>36.513469793365793</c:v>
                </c:pt>
                <c:pt idx="26">
                  <c:v>37.708944008556898</c:v>
                </c:pt>
                <c:pt idx="27">
                  <c:v>38.904418223748024</c:v>
                </c:pt>
                <c:pt idx="28">
                  <c:v>38.904418223748024</c:v>
                </c:pt>
                <c:pt idx="29">
                  <c:v>40.099892438939136</c:v>
                </c:pt>
                <c:pt idx="30">
                  <c:v>41.295366654130248</c:v>
                </c:pt>
                <c:pt idx="31">
                  <c:v>42.490840869321367</c:v>
                </c:pt>
                <c:pt idx="32">
                  <c:v>43.686315084512486</c:v>
                </c:pt>
                <c:pt idx="33">
                  <c:v>44.881789299703605</c:v>
                </c:pt>
                <c:pt idx="34">
                  <c:v>46.077263514894717</c:v>
                </c:pt>
                <c:pt idx="35">
                  <c:v>47.272737730085829</c:v>
                </c:pt>
                <c:pt idx="36">
                  <c:v>48.468211945276956</c:v>
                </c:pt>
                <c:pt idx="37">
                  <c:v>49.663686160468075</c:v>
                </c:pt>
                <c:pt idx="38">
                  <c:v>50.859160375659179</c:v>
                </c:pt>
                <c:pt idx="39">
                  <c:v>52.054634590850306</c:v>
                </c:pt>
                <c:pt idx="40">
                  <c:v>53.250108806041425</c:v>
                </c:pt>
                <c:pt idx="41">
                  <c:v>54.445583021232537</c:v>
                </c:pt>
                <c:pt idx="42">
                  <c:v>55.641057236423649</c:v>
                </c:pt>
                <c:pt idx="43">
                  <c:v>56.836531451614761</c:v>
                </c:pt>
                <c:pt idx="44">
                  <c:v>58.03200566680588</c:v>
                </c:pt>
                <c:pt idx="45">
                  <c:v>59.227479881996999</c:v>
                </c:pt>
                <c:pt idx="46">
                  <c:v>60.422954097188111</c:v>
                </c:pt>
                <c:pt idx="47">
                  <c:v>61.618428312379223</c:v>
                </c:pt>
                <c:pt idx="48">
                  <c:v>62.813902527570264</c:v>
                </c:pt>
                <c:pt idx="49">
                  <c:v>62.813902527570278</c:v>
                </c:pt>
                <c:pt idx="50">
                  <c:v>62.813902527570285</c:v>
                </c:pt>
                <c:pt idx="51">
                  <c:v>62.813902527570278</c:v>
                </c:pt>
                <c:pt idx="52">
                  <c:v>62.813902527570278</c:v>
                </c:pt>
                <c:pt idx="53">
                  <c:v>62.813902527570278</c:v>
                </c:pt>
                <c:pt idx="54">
                  <c:v>62.813902527570278</c:v>
                </c:pt>
                <c:pt idx="55">
                  <c:v>62.813902527570278</c:v>
                </c:pt>
                <c:pt idx="56">
                  <c:v>62.813902527570278</c:v>
                </c:pt>
                <c:pt idx="57">
                  <c:v>62.813902527570278</c:v>
                </c:pt>
                <c:pt idx="58">
                  <c:v>62.813902527570278</c:v>
                </c:pt>
                <c:pt idx="59">
                  <c:v>62.813902527570278</c:v>
                </c:pt>
                <c:pt idx="60">
                  <c:v>62.813902527570278</c:v>
                </c:pt>
                <c:pt idx="61">
                  <c:v>62.813902527570278</c:v>
                </c:pt>
                <c:pt idx="62">
                  <c:v>62.813902527570264</c:v>
                </c:pt>
                <c:pt idx="63">
                  <c:v>62.813902527570278</c:v>
                </c:pt>
                <c:pt idx="64">
                  <c:v>62.813902527570264</c:v>
                </c:pt>
                <c:pt idx="65">
                  <c:v>62.813902527570278</c:v>
                </c:pt>
                <c:pt idx="66">
                  <c:v>62.813902527570285</c:v>
                </c:pt>
                <c:pt idx="67">
                  <c:v>62.813902527570278</c:v>
                </c:pt>
                <c:pt idx="68">
                  <c:v>62.813902527570264</c:v>
                </c:pt>
                <c:pt idx="69">
                  <c:v>62.813902527570264</c:v>
                </c:pt>
                <c:pt idx="70">
                  <c:v>62.813902527570264</c:v>
                </c:pt>
                <c:pt idx="71">
                  <c:v>62.813902527570264</c:v>
                </c:pt>
                <c:pt idx="72">
                  <c:v>62.813902527570264</c:v>
                </c:pt>
                <c:pt idx="73">
                  <c:v>62.813902527570264</c:v>
                </c:pt>
                <c:pt idx="74">
                  <c:v>62.813902527570264</c:v>
                </c:pt>
                <c:pt idx="75">
                  <c:v>62.813902527570264</c:v>
                </c:pt>
                <c:pt idx="76">
                  <c:v>62.813902527570264</c:v>
                </c:pt>
                <c:pt idx="77">
                  <c:v>62.813902527570264</c:v>
                </c:pt>
                <c:pt idx="78">
                  <c:v>62.813902527570264</c:v>
                </c:pt>
                <c:pt idx="79">
                  <c:v>62.813902527570264</c:v>
                </c:pt>
                <c:pt idx="80">
                  <c:v>62.813902527570264</c:v>
                </c:pt>
                <c:pt idx="81">
                  <c:v>62.813902527570264</c:v>
                </c:pt>
                <c:pt idx="82">
                  <c:v>62.813902527570264</c:v>
                </c:pt>
                <c:pt idx="83">
                  <c:v>62.813902527570264</c:v>
                </c:pt>
                <c:pt idx="84">
                  <c:v>62.813902527570264</c:v>
                </c:pt>
                <c:pt idx="85">
                  <c:v>62.813902527570264</c:v>
                </c:pt>
                <c:pt idx="86">
                  <c:v>62.813902527570264</c:v>
                </c:pt>
                <c:pt idx="87">
                  <c:v>62.813902527570264</c:v>
                </c:pt>
                <c:pt idx="88">
                  <c:v>62.813902527570264</c:v>
                </c:pt>
                <c:pt idx="89">
                  <c:v>62.813902527570264</c:v>
                </c:pt>
                <c:pt idx="90">
                  <c:v>62.813902527570278</c:v>
                </c:pt>
                <c:pt idx="91">
                  <c:v>62.813902527570278</c:v>
                </c:pt>
                <c:pt idx="92">
                  <c:v>62.813902527570278</c:v>
                </c:pt>
                <c:pt idx="93">
                  <c:v>62.813902527570278</c:v>
                </c:pt>
                <c:pt idx="94">
                  <c:v>62.813902527570278</c:v>
                </c:pt>
                <c:pt idx="95">
                  <c:v>62.813902527570278</c:v>
                </c:pt>
                <c:pt idx="96">
                  <c:v>62.813902527570278</c:v>
                </c:pt>
                <c:pt idx="97">
                  <c:v>62.813902527570264</c:v>
                </c:pt>
                <c:pt idx="98">
                  <c:v>62.813902527570278</c:v>
                </c:pt>
                <c:pt idx="99">
                  <c:v>62.813902527570278</c:v>
                </c:pt>
                <c:pt idx="100">
                  <c:v>62.813902527570278</c:v>
                </c:pt>
                <c:pt idx="101">
                  <c:v>62.813902527570278</c:v>
                </c:pt>
                <c:pt idx="102">
                  <c:v>62.813902527570278</c:v>
                </c:pt>
                <c:pt idx="103">
                  <c:v>62.813902527570278</c:v>
                </c:pt>
                <c:pt idx="104">
                  <c:v>62.813902527570278</c:v>
                </c:pt>
                <c:pt idx="105">
                  <c:v>62.813902527570278</c:v>
                </c:pt>
                <c:pt idx="106">
                  <c:v>62.813902527570278</c:v>
                </c:pt>
                <c:pt idx="107">
                  <c:v>62.813902527570278</c:v>
                </c:pt>
                <c:pt idx="108">
                  <c:v>62.813902527570278</c:v>
                </c:pt>
                <c:pt idx="109">
                  <c:v>62.813902527570264</c:v>
                </c:pt>
                <c:pt idx="110">
                  <c:v>62.813902527570278</c:v>
                </c:pt>
                <c:pt idx="111">
                  <c:v>62.813902527570264</c:v>
                </c:pt>
                <c:pt idx="112">
                  <c:v>62.813902527570285</c:v>
                </c:pt>
                <c:pt idx="113">
                  <c:v>62.813902527570278</c:v>
                </c:pt>
                <c:pt idx="114">
                  <c:v>62.813902527570278</c:v>
                </c:pt>
                <c:pt idx="115">
                  <c:v>62.813902527570264</c:v>
                </c:pt>
                <c:pt idx="116">
                  <c:v>59.244684231962218</c:v>
                </c:pt>
                <c:pt idx="117">
                  <c:v>55.675465936354179</c:v>
                </c:pt>
                <c:pt idx="118">
                  <c:v>52.106247640746119</c:v>
                </c:pt>
                <c:pt idx="119">
                  <c:v>48.537029345138073</c:v>
                </c:pt>
                <c:pt idx="120">
                  <c:v>44.96781104953002</c:v>
                </c:pt>
                <c:pt idx="121">
                  <c:v>41.39859275392196</c:v>
                </c:pt>
                <c:pt idx="122">
                  <c:v>37.829374458313907</c:v>
                </c:pt>
                <c:pt idx="123">
                  <c:v>34.260156162705869</c:v>
                </c:pt>
                <c:pt idx="124">
                  <c:v>30.690937867097816</c:v>
                </c:pt>
                <c:pt idx="125">
                  <c:v>27.121719571489759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91E-45DF-A30D-1C98CA491B1B}"/>
            </c:ext>
          </c:extLst>
        </c:ser>
        <c:ser>
          <c:idx val="3"/>
          <c:order val="4"/>
          <c:tx>
            <c:v>SLO</c:v>
          </c:tx>
          <c:spPr>
            <a:ln w="1270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xVal>
            <c:numRef>
              <c:f>'Spettri x'!$AM$15:$AM$140</c:f>
              <c:numCache>
                <c:formatCode>0.000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7.4581983584264488E-2</c:v>
                </c:pt>
                <c:pt idx="3">
                  <c:v>0.14916396716852898</c:v>
                </c:pt>
                <c:pt idx="4">
                  <c:v>0.22374595075279347</c:v>
                </c:pt>
                <c:pt idx="5">
                  <c:v>0.29832793433705795</c:v>
                </c:pt>
                <c:pt idx="6">
                  <c:v>0.37290991792132244</c:v>
                </c:pt>
                <c:pt idx="7">
                  <c:v>0.44749190150558693</c:v>
                </c:pt>
                <c:pt idx="8">
                  <c:v>0.48240460396794727</c:v>
                </c:pt>
                <c:pt idx="9">
                  <c:v>0.5173173064303076</c:v>
                </c:pt>
                <c:pt idx="10">
                  <c:v>0.55223000889266793</c:v>
                </c:pt>
                <c:pt idx="11">
                  <c:v>0.58714271135502827</c:v>
                </c:pt>
                <c:pt idx="12">
                  <c:v>0.6220554138173886</c:v>
                </c:pt>
                <c:pt idx="13">
                  <c:v>0.65696811627974894</c:v>
                </c:pt>
                <c:pt idx="14">
                  <c:v>0.69188081874210927</c:v>
                </c:pt>
                <c:pt idx="15">
                  <c:v>0.72679352120446961</c:v>
                </c:pt>
                <c:pt idx="16">
                  <c:v>0.76170622366682994</c:v>
                </c:pt>
                <c:pt idx="17">
                  <c:v>0.79661892612919027</c:v>
                </c:pt>
                <c:pt idx="18">
                  <c:v>0.83153162859155061</c:v>
                </c:pt>
                <c:pt idx="19">
                  <c:v>0.86644433105391094</c:v>
                </c:pt>
                <c:pt idx="20">
                  <c:v>0.90135703351627128</c:v>
                </c:pt>
                <c:pt idx="21">
                  <c:v>0.93626973597863161</c:v>
                </c:pt>
                <c:pt idx="22">
                  <c:v>0.97118243844099195</c:v>
                </c:pt>
                <c:pt idx="23">
                  <c:v>1.0060951409033523</c:v>
                </c:pt>
                <c:pt idx="24">
                  <c:v>1.0410078433657126</c:v>
                </c:pt>
                <c:pt idx="25">
                  <c:v>1.0759205458280729</c:v>
                </c:pt>
                <c:pt idx="26">
                  <c:v>1.1108332482904333</c:v>
                </c:pt>
                <c:pt idx="27">
                  <c:v>1.1457459507527936</c:v>
                </c:pt>
                <c:pt idx="28">
                  <c:v>1.1457459507527936</c:v>
                </c:pt>
                <c:pt idx="29">
                  <c:v>1.180658653215154</c:v>
                </c:pt>
                <c:pt idx="30">
                  <c:v>1.2155713556775143</c:v>
                </c:pt>
                <c:pt idx="31">
                  <c:v>1.2504840581398746</c:v>
                </c:pt>
                <c:pt idx="32">
                  <c:v>1.285396760602235</c:v>
                </c:pt>
                <c:pt idx="33">
                  <c:v>1.3203094630645953</c:v>
                </c:pt>
                <c:pt idx="34">
                  <c:v>1.3552221655269556</c:v>
                </c:pt>
                <c:pt idx="35">
                  <c:v>1.390134867989316</c:v>
                </c:pt>
                <c:pt idx="36">
                  <c:v>1.4250475704516763</c:v>
                </c:pt>
                <c:pt idx="37">
                  <c:v>1.4599602729140366</c:v>
                </c:pt>
                <c:pt idx="38">
                  <c:v>1.494872975376397</c:v>
                </c:pt>
                <c:pt idx="39">
                  <c:v>1.5297856778387573</c:v>
                </c:pt>
                <c:pt idx="40">
                  <c:v>1.5646983803011176</c:v>
                </c:pt>
                <c:pt idx="41">
                  <c:v>1.599611082763478</c:v>
                </c:pt>
                <c:pt idx="42">
                  <c:v>1.6345237852258383</c:v>
                </c:pt>
                <c:pt idx="43">
                  <c:v>1.6694364876881986</c:v>
                </c:pt>
                <c:pt idx="44">
                  <c:v>1.704349190150559</c:v>
                </c:pt>
                <c:pt idx="45">
                  <c:v>1.7392618926129193</c:v>
                </c:pt>
                <c:pt idx="46">
                  <c:v>1.7741745950752796</c:v>
                </c:pt>
                <c:pt idx="47">
                  <c:v>1.80908729753764</c:v>
                </c:pt>
                <c:pt idx="48">
                  <c:v>1.8440000000000001</c:v>
                </c:pt>
                <c:pt idx="49">
                  <c:v>1.8729</c:v>
                </c:pt>
                <c:pt idx="50">
                  <c:v>1.9017999999999999</c:v>
                </c:pt>
                <c:pt idx="51">
                  <c:v>1.9306999999999999</c:v>
                </c:pt>
                <c:pt idx="52">
                  <c:v>1.9595999999999998</c:v>
                </c:pt>
                <c:pt idx="53">
                  <c:v>1.9884999999999997</c:v>
                </c:pt>
                <c:pt idx="54">
                  <c:v>2.0173999999999999</c:v>
                </c:pt>
                <c:pt idx="55">
                  <c:v>2.0463</c:v>
                </c:pt>
                <c:pt idx="56">
                  <c:v>2.0752000000000002</c:v>
                </c:pt>
                <c:pt idx="57">
                  <c:v>2.1041000000000003</c:v>
                </c:pt>
                <c:pt idx="58">
                  <c:v>2.1330000000000005</c:v>
                </c:pt>
                <c:pt idx="59">
                  <c:v>2.1619000000000006</c:v>
                </c:pt>
                <c:pt idx="60">
                  <c:v>2.1908000000000007</c:v>
                </c:pt>
                <c:pt idx="61">
                  <c:v>2.2197000000000009</c:v>
                </c:pt>
                <c:pt idx="62">
                  <c:v>2.248600000000001</c:v>
                </c:pt>
                <c:pt idx="63">
                  <c:v>2.2775000000000012</c:v>
                </c:pt>
                <c:pt idx="64">
                  <c:v>2.3064000000000013</c:v>
                </c:pt>
                <c:pt idx="65">
                  <c:v>2.3353000000000015</c:v>
                </c:pt>
                <c:pt idx="66">
                  <c:v>2.3642000000000016</c:v>
                </c:pt>
                <c:pt idx="67">
                  <c:v>2.3931000000000018</c:v>
                </c:pt>
                <c:pt idx="68">
                  <c:v>2.4220000000000002</c:v>
                </c:pt>
                <c:pt idx="69">
                  <c:v>2.4220000000000002</c:v>
                </c:pt>
                <c:pt idx="70">
                  <c:v>2.4509000000000003</c:v>
                </c:pt>
                <c:pt idx="71">
                  <c:v>2.4798000000000004</c:v>
                </c:pt>
                <c:pt idx="72">
                  <c:v>2.5087000000000006</c:v>
                </c:pt>
                <c:pt idx="73">
                  <c:v>2.5376000000000007</c:v>
                </c:pt>
                <c:pt idx="74">
                  <c:v>2.5665000000000009</c:v>
                </c:pt>
                <c:pt idx="75">
                  <c:v>2.595400000000001</c:v>
                </c:pt>
                <c:pt idx="76">
                  <c:v>2.6243000000000012</c:v>
                </c:pt>
                <c:pt idx="77">
                  <c:v>2.6532000000000013</c:v>
                </c:pt>
                <c:pt idx="78">
                  <c:v>2.6821000000000015</c:v>
                </c:pt>
                <c:pt idx="79">
                  <c:v>2.7110000000000016</c:v>
                </c:pt>
                <c:pt idx="80">
                  <c:v>2.7399000000000018</c:v>
                </c:pt>
                <c:pt idx="81">
                  <c:v>2.7688000000000019</c:v>
                </c:pt>
                <c:pt idx="82">
                  <c:v>2.7977000000000021</c:v>
                </c:pt>
                <c:pt idx="83">
                  <c:v>2.8266000000000022</c:v>
                </c:pt>
                <c:pt idx="84">
                  <c:v>2.8555000000000024</c:v>
                </c:pt>
                <c:pt idx="85">
                  <c:v>2.8844000000000025</c:v>
                </c:pt>
                <c:pt idx="86">
                  <c:v>2.9133000000000027</c:v>
                </c:pt>
                <c:pt idx="87">
                  <c:v>2.9422000000000028</c:v>
                </c:pt>
                <c:pt idx="88">
                  <c:v>2.971100000000003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  <c:pt idx="116">
                  <c:v>6.4</c:v>
                </c:pt>
                <c:pt idx="117">
                  <c:v>6.8</c:v>
                </c:pt>
                <c:pt idx="118">
                  <c:v>7.2</c:v>
                </c:pt>
                <c:pt idx="119">
                  <c:v>7.6</c:v>
                </c:pt>
                <c:pt idx="120">
                  <c:v>8</c:v>
                </c:pt>
                <c:pt idx="121">
                  <c:v>8.4</c:v>
                </c:pt>
                <c:pt idx="122">
                  <c:v>8.8000000000000007</c:v>
                </c:pt>
                <c:pt idx="123">
                  <c:v>9.1999999999999993</c:v>
                </c:pt>
                <c:pt idx="124">
                  <c:v>9.6</c:v>
                </c:pt>
                <c:pt idx="125">
                  <c:v>10</c:v>
                </c:pt>
              </c:numCache>
            </c:numRef>
          </c:xVal>
          <c:yVal>
            <c:numRef>
              <c:f>'Spettri x'!$AP$15:$AP$140</c:f>
              <c:numCache>
                <c:formatCode>0.00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0.21247483753023669</c:v>
                </c:pt>
                <c:pt idx="3">
                  <c:v>1.193906229931806</c:v>
                </c:pt>
                <c:pt idx="4">
                  <c:v>2.6862890173465641</c:v>
                </c:pt>
                <c:pt idx="5">
                  <c:v>4.7756249197272238</c:v>
                </c:pt>
                <c:pt idx="6">
                  <c:v>7.4619139370737892</c:v>
                </c:pt>
                <c:pt idx="7">
                  <c:v>10.745156069386256</c:v>
                </c:pt>
                <c:pt idx="8">
                  <c:v>11.583478361923708</c:v>
                </c:pt>
                <c:pt idx="9">
                  <c:v>12.421800654461162</c:v>
                </c:pt>
                <c:pt idx="10">
                  <c:v>13.260122946998615</c:v>
                </c:pt>
                <c:pt idx="11">
                  <c:v>14.098445239536069</c:v>
                </c:pt>
                <c:pt idx="12">
                  <c:v>14.936767532073519</c:v>
                </c:pt>
                <c:pt idx="13">
                  <c:v>15.775089824610973</c:v>
                </c:pt>
                <c:pt idx="14">
                  <c:v>16.613412117148425</c:v>
                </c:pt>
                <c:pt idx="15">
                  <c:v>17.451734409685876</c:v>
                </c:pt>
                <c:pt idx="16">
                  <c:v>18.290056702223332</c:v>
                </c:pt>
                <c:pt idx="17">
                  <c:v>19.12837899476078</c:v>
                </c:pt>
                <c:pt idx="18">
                  <c:v>19.966701287298235</c:v>
                </c:pt>
                <c:pt idx="19">
                  <c:v>20.805023579835687</c:v>
                </c:pt>
                <c:pt idx="20">
                  <c:v>21.643345872373139</c:v>
                </c:pt>
                <c:pt idx="21">
                  <c:v>22.481668164910591</c:v>
                </c:pt>
                <c:pt idx="22">
                  <c:v>23.319990457448046</c:v>
                </c:pt>
                <c:pt idx="23">
                  <c:v>24.158312749985498</c:v>
                </c:pt>
                <c:pt idx="24">
                  <c:v>24.996635042522954</c:v>
                </c:pt>
                <c:pt idx="25">
                  <c:v>25.834957335060405</c:v>
                </c:pt>
                <c:pt idx="26">
                  <c:v>26.673279627597854</c:v>
                </c:pt>
                <c:pt idx="27">
                  <c:v>27.511601920135309</c:v>
                </c:pt>
                <c:pt idx="28">
                  <c:v>27.511601920135309</c:v>
                </c:pt>
                <c:pt idx="29">
                  <c:v>28.349924212672757</c:v>
                </c:pt>
                <c:pt idx="30">
                  <c:v>29.188246505210216</c:v>
                </c:pt>
                <c:pt idx="31">
                  <c:v>30.026568797747665</c:v>
                </c:pt>
                <c:pt idx="32">
                  <c:v>30.864891090285123</c:v>
                </c:pt>
                <c:pt idx="33">
                  <c:v>31.703213382822568</c:v>
                </c:pt>
                <c:pt idx="34">
                  <c:v>32.541535675360031</c:v>
                </c:pt>
                <c:pt idx="35">
                  <c:v>33.379857967897479</c:v>
                </c:pt>
                <c:pt idx="36">
                  <c:v>34.218180260434927</c:v>
                </c:pt>
                <c:pt idx="37">
                  <c:v>35.056502552972383</c:v>
                </c:pt>
                <c:pt idx="38">
                  <c:v>35.894824845509838</c:v>
                </c:pt>
                <c:pt idx="39">
                  <c:v>36.733147138047293</c:v>
                </c:pt>
                <c:pt idx="40">
                  <c:v>37.571469430584742</c:v>
                </c:pt>
                <c:pt idx="41">
                  <c:v>38.409791723122197</c:v>
                </c:pt>
                <c:pt idx="42">
                  <c:v>39.248114015659652</c:v>
                </c:pt>
                <c:pt idx="43">
                  <c:v>40.086436308197094</c:v>
                </c:pt>
                <c:pt idx="44">
                  <c:v>40.924758600734556</c:v>
                </c:pt>
                <c:pt idx="45">
                  <c:v>41.763080893271997</c:v>
                </c:pt>
                <c:pt idx="46">
                  <c:v>42.601403185809467</c:v>
                </c:pt>
                <c:pt idx="47">
                  <c:v>43.439725478346915</c:v>
                </c:pt>
                <c:pt idx="48">
                  <c:v>44.278047770884356</c:v>
                </c:pt>
                <c:pt idx="49">
                  <c:v>44.278047770884356</c:v>
                </c:pt>
                <c:pt idx="50">
                  <c:v>44.278047770884356</c:v>
                </c:pt>
                <c:pt idx="51">
                  <c:v>44.278047770884356</c:v>
                </c:pt>
                <c:pt idx="52">
                  <c:v>44.278047770884356</c:v>
                </c:pt>
                <c:pt idx="53">
                  <c:v>44.278047770884363</c:v>
                </c:pt>
                <c:pt idx="54">
                  <c:v>44.278047770884356</c:v>
                </c:pt>
                <c:pt idx="55">
                  <c:v>44.278047770884356</c:v>
                </c:pt>
                <c:pt idx="56">
                  <c:v>44.278047770884363</c:v>
                </c:pt>
                <c:pt idx="57">
                  <c:v>44.278047770884356</c:v>
                </c:pt>
                <c:pt idx="58">
                  <c:v>44.278047770884356</c:v>
                </c:pt>
                <c:pt idx="59">
                  <c:v>44.278047770884363</c:v>
                </c:pt>
                <c:pt idx="60">
                  <c:v>44.278047770884363</c:v>
                </c:pt>
                <c:pt idx="61">
                  <c:v>44.278047770884356</c:v>
                </c:pt>
                <c:pt idx="62">
                  <c:v>44.278047770884356</c:v>
                </c:pt>
                <c:pt idx="63">
                  <c:v>44.278047770884356</c:v>
                </c:pt>
                <c:pt idx="64">
                  <c:v>44.27804777088437</c:v>
                </c:pt>
                <c:pt idx="65">
                  <c:v>44.278047770884363</c:v>
                </c:pt>
                <c:pt idx="66">
                  <c:v>44.278047770884356</c:v>
                </c:pt>
                <c:pt idx="67">
                  <c:v>44.278047770884363</c:v>
                </c:pt>
                <c:pt idx="68">
                  <c:v>44.278047770884356</c:v>
                </c:pt>
                <c:pt idx="69">
                  <c:v>44.278047770884356</c:v>
                </c:pt>
                <c:pt idx="70">
                  <c:v>44.278047770884363</c:v>
                </c:pt>
                <c:pt idx="71">
                  <c:v>44.278047770884363</c:v>
                </c:pt>
                <c:pt idx="72">
                  <c:v>44.278047770884356</c:v>
                </c:pt>
                <c:pt idx="73">
                  <c:v>44.278047770884363</c:v>
                </c:pt>
                <c:pt idx="74">
                  <c:v>44.278047770884356</c:v>
                </c:pt>
                <c:pt idx="75">
                  <c:v>44.278047770884356</c:v>
                </c:pt>
                <c:pt idx="76">
                  <c:v>44.278047770884356</c:v>
                </c:pt>
                <c:pt idx="77">
                  <c:v>44.278047770884356</c:v>
                </c:pt>
                <c:pt idx="78">
                  <c:v>44.278047770884356</c:v>
                </c:pt>
                <c:pt idx="79">
                  <c:v>44.278047770884356</c:v>
                </c:pt>
                <c:pt idx="80">
                  <c:v>44.278047770884363</c:v>
                </c:pt>
                <c:pt idx="81">
                  <c:v>44.278047770884363</c:v>
                </c:pt>
                <c:pt idx="82">
                  <c:v>44.278047770884363</c:v>
                </c:pt>
                <c:pt idx="83">
                  <c:v>44.278047770884356</c:v>
                </c:pt>
                <c:pt idx="84">
                  <c:v>44.278047770884356</c:v>
                </c:pt>
                <c:pt idx="85">
                  <c:v>44.278047770884363</c:v>
                </c:pt>
                <c:pt idx="86">
                  <c:v>44.278047770884356</c:v>
                </c:pt>
                <c:pt idx="87">
                  <c:v>44.278047770884356</c:v>
                </c:pt>
                <c:pt idx="88">
                  <c:v>44.278047770884356</c:v>
                </c:pt>
                <c:pt idx="89">
                  <c:v>44.278047770884356</c:v>
                </c:pt>
                <c:pt idx="90">
                  <c:v>44.278047770884356</c:v>
                </c:pt>
                <c:pt idx="91">
                  <c:v>44.278047770884356</c:v>
                </c:pt>
                <c:pt idx="92">
                  <c:v>44.27804777088437</c:v>
                </c:pt>
                <c:pt idx="93">
                  <c:v>44.278047770884356</c:v>
                </c:pt>
                <c:pt idx="94">
                  <c:v>44.278047770884356</c:v>
                </c:pt>
                <c:pt idx="95">
                  <c:v>44.278047770884356</c:v>
                </c:pt>
                <c:pt idx="96">
                  <c:v>44.278047770884363</c:v>
                </c:pt>
                <c:pt idx="97">
                  <c:v>44.278047770884356</c:v>
                </c:pt>
                <c:pt idx="98">
                  <c:v>44.278047770884356</c:v>
                </c:pt>
                <c:pt idx="99">
                  <c:v>44.278047770884356</c:v>
                </c:pt>
                <c:pt idx="100">
                  <c:v>44.278047770884363</c:v>
                </c:pt>
                <c:pt idx="101">
                  <c:v>44.278047770884363</c:v>
                </c:pt>
                <c:pt idx="102">
                  <c:v>44.278047770884363</c:v>
                </c:pt>
                <c:pt idx="103">
                  <c:v>44.278047770884363</c:v>
                </c:pt>
                <c:pt idx="104">
                  <c:v>44.278047770884356</c:v>
                </c:pt>
                <c:pt idx="105">
                  <c:v>44.278047770884356</c:v>
                </c:pt>
                <c:pt idx="106">
                  <c:v>44.278047770884356</c:v>
                </c:pt>
                <c:pt idx="107">
                  <c:v>44.278047770884356</c:v>
                </c:pt>
                <c:pt idx="108">
                  <c:v>44.278047770884363</c:v>
                </c:pt>
                <c:pt idx="109">
                  <c:v>44.278047770884356</c:v>
                </c:pt>
                <c:pt idx="110">
                  <c:v>44.278047770884356</c:v>
                </c:pt>
                <c:pt idx="111">
                  <c:v>44.278047770884356</c:v>
                </c:pt>
                <c:pt idx="112">
                  <c:v>44.278047770884363</c:v>
                </c:pt>
                <c:pt idx="113">
                  <c:v>44.278047770884356</c:v>
                </c:pt>
                <c:pt idx="114">
                  <c:v>44.278047770884356</c:v>
                </c:pt>
                <c:pt idx="115">
                  <c:v>44.278047770884356</c:v>
                </c:pt>
                <c:pt idx="116">
                  <c:v>41.726431458663903</c:v>
                </c:pt>
                <c:pt idx="117">
                  <c:v>39.17481514644345</c:v>
                </c:pt>
                <c:pt idx="118">
                  <c:v>36.623198834222997</c:v>
                </c:pt>
                <c:pt idx="119">
                  <c:v>34.071582522002544</c:v>
                </c:pt>
                <c:pt idx="120">
                  <c:v>31.519966209782087</c:v>
                </c:pt>
                <c:pt idx="121">
                  <c:v>28.96834989756163</c:v>
                </c:pt>
                <c:pt idx="122">
                  <c:v>26.416733585341174</c:v>
                </c:pt>
                <c:pt idx="123">
                  <c:v>23.865117273120728</c:v>
                </c:pt>
                <c:pt idx="124">
                  <c:v>21.313500960900271</c:v>
                </c:pt>
                <c:pt idx="125">
                  <c:v>18.761884648679814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91E-45DF-A30D-1C98CA491B1B}"/>
            </c:ext>
          </c:extLst>
        </c:ser>
        <c:ser>
          <c:idx val="4"/>
          <c:order val="5"/>
          <c:tx>
            <c:v/>
          </c:tx>
          <c:spPr>
            <a:ln>
              <a:solidFill>
                <a:schemeClr val="bg1"/>
              </a:solidFill>
            </a:ln>
          </c:spPr>
          <c:marker>
            <c:symbol val="none"/>
          </c:marker>
          <c:xVal>
            <c:numRef>
              <c:f>'Spettri di risposta NTC'!#REF!</c:f>
            </c:numRef>
          </c:xVal>
          <c:yVal>
            <c:numRef>
              <c:f>'Spettri di risposta NTC'!#REF!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91E-45DF-A30D-1C98CA491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133632"/>
        <c:axId val="154135168"/>
      </c:scatterChart>
      <c:valAx>
        <c:axId val="154133632"/>
        <c:scaling>
          <c:orientation val="minMax"/>
          <c:max val="10"/>
          <c:min val="0"/>
        </c:scaling>
        <c:delete val="0"/>
        <c:axPos val="b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54135168"/>
        <c:crosses val="autoZero"/>
        <c:crossBetween val="midCat"/>
      </c:valAx>
      <c:valAx>
        <c:axId val="154135168"/>
        <c:scaling>
          <c:orientation val="minMax"/>
          <c:max val="45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54133632"/>
        <c:crosses val="autoZero"/>
        <c:crossBetween val="midCat"/>
      </c:valAx>
    </c:plotArea>
    <c:legend>
      <c:legendPos val="r"/>
      <c:legendEntry>
        <c:idx val="0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76501372711773008"/>
          <c:y val="0.19717102028913053"/>
          <c:w val="0.16818452380952367"/>
          <c:h val="0.30835275590551237"/>
        </c:manualLayout>
      </c:layout>
      <c:overlay val="1"/>
      <c:spPr>
        <a:solidFill>
          <a:schemeClr val="bg1"/>
        </a:solidFill>
      </c:spPr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'Spettri y'!$AA$10</c:f>
          <c:strCache>
            <c:ptCount val="1"/>
            <c:pt idx="0">
              <c:v>Piazza Cairoli, Messina - spettri elastici, ag/g</c:v>
            </c:pt>
          </c:strCache>
        </c:strRef>
      </c:tx>
      <c:layout>
        <c:manualLayout>
          <c:xMode val="edge"/>
          <c:yMode val="edge"/>
          <c:x val="0.16933023997000374"/>
          <c:y val="1.7777777777777781E-2"/>
        </c:manualLayout>
      </c:layout>
      <c:overlay val="0"/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5"/>
          <c:order val="0"/>
          <c:tx>
            <c:v/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'Spettri y'!$AA$15:$AA$18</c:f>
              <c:numCache>
                <c:formatCode>General</c:formatCode>
                <c:ptCount val="4"/>
                <c:pt idx="0">
                  <c:v>0.61099999999999999</c:v>
                </c:pt>
                <c:pt idx="1">
                  <c:v>0.61099999999999999</c:v>
                </c:pt>
                <c:pt idx="2">
                  <c:v>0.61099999999999999</c:v>
                </c:pt>
                <c:pt idx="3">
                  <c:v>0.61099999999999999</c:v>
                </c:pt>
              </c:numCache>
            </c:numRef>
          </c:xVal>
          <c:yVal>
            <c:numRef>
              <c:f>'Spettri y'!$AB$15:$AB$18</c:f>
              <c:numCache>
                <c:formatCode>0.000</c:formatCode>
                <c:ptCount val="4"/>
                <c:pt idx="0">
                  <c:v>0.15815286613930676</c:v>
                </c:pt>
                <c:pt idx="1">
                  <c:v>0.21458445911663462</c:v>
                </c:pt>
                <c:pt idx="2">
                  <c:v>0.69895013179366716</c:v>
                </c:pt>
                <c:pt idx="3">
                  <c:v>0.90058030635901176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B3-4A9E-B48D-7283D465CDA1}"/>
            </c:ext>
          </c:extLst>
        </c:ser>
        <c:ser>
          <c:idx val="0"/>
          <c:order val="1"/>
          <c:tx>
            <c:v>SLC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'Spettri y'!$AY$15:$AY$130</c:f>
              <c:numCache>
                <c:formatCode>0.000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9.199860185971169E-2</c:v>
                </c:pt>
                <c:pt idx="3">
                  <c:v>0.18399720371942338</c:v>
                </c:pt>
                <c:pt idx="4">
                  <c:v>0.27599580557913506</c:v>
                </c:pt>
                <c:pt idx="5">
                  <c:v>0.3679944074388467</c:v>
                </c:pt>
                <c:pt idx="6">
                  <c:v>0.45999300929855835</c:v>
                </c:pt>
                <c:pt idx="7">
                  <c:v>0.55199161115827011</c:v>
                </c:pt>
                <c:pt idx="8">
                  <c:v>0.61209182087931335</c:v>
                </c:pt>
                <c:pt idx="9">
                  <c:v>0.67219203060035659</c:v>
                </c:pt>
                <c:pt idx="10">
                  <c:v>0.73229224032139983</c:v>
                </c:pt>
                <c:pt idx="11">
                  <c:v>0.79239245004244308</c:v>
                </c:pt>
                <c:pt idx="12">
                  <c:v>0.85249265976348632</c:v>
                </c:pt>
                <c:pt idx="13">
                  <c:v>0.91259286948452956</c:v>
                </c:pt>
                <c:pt idx="14">
                  <c:v>0.9726930792055728</c:v>
                </c:pt>
                <c:pt idx="15">
                  <c:v>1.032793288926616</c:v>
                </c:pt>
                <c:pt idx="16">
                  <c:v>1.0928934986476593</c:v>
                </c:pt>
                <c:pt idx="17">
                  <c:v>1.1529937083687025</c:v>
                </c:pt>
                <c:pt idx="18">
                  <c:v>1.2130939180897458</c:v>
                </c:pt>
                <c:pt idx="19">
                  <c:v>1.273194127810789</c:v>
                </c:pt>
                <c:pt idx="20">
                  <c:v>1.3332943375318322</c:v>
                </c:pt>
                <c:pt idx="21">
                  <c:v>1.3933945472528755</c:v>
                </c:pt>
                <c:pt idx="22">
                  <c:v>1.4534947569739187</c:v>
                </c:pt>
                <c:pt idx="23">
                  <c:v>1.513594966694962</c:v>
                </c:pt>
                <c:pt idx="24">
                  <c:v>1.5736951764160052</c:v>
                </c:pt>
                <c:pt idx="25">
                  <c:v>1.6337953861370484</c:v>
                </c:pt>
                <c:pt idx="26">
                  <c:v>1.6938955958580917</c:v>
                </c:pt>
                <c:pt idx="27">
                  <c:v>1.7539958055791351</c:v>
                </c:pt>
                <c:pt idx="28">
                  <c:v>1.7539958055791351</c:v>
                </c:pt>
                <c:pt idx="29">
                  <c:v>1.8140960153001784</c:v>
                </c:pt>
                <c:pt idx="30">
                  <c:v>1.8741962250212216</c:v>
                </c:pt>
                <c:pt idx="31">
                  <c:v>1.9342964347422649</c:v>
                </c:pt>
                <c:pt idx="32">
                  <c:v>1.9943966444633081</c:v>
                </c:pt>
                <c:pt idx="33">
                  <c:v>2.0544968541843516</c:v>
                </c:pt>
                <c:pt idx="34">
                  <c:v>2.114597063905395</c:v>
                </c:pt>
                <c:pt idx="35">
                  <c:v>2.1746972736264385</c:v>
                </c:pt>
                <c:pt idx="36">
                  <c:v>2.234797483347482</c:v>
                </c:pt>
                <c:pt idx="37">
                  <c:v>2.2948976930685254</c:v>
                </c:pt>
                <c:pt idx="38">
                  <c:v>2.3549979027895689</c:v>
                </c:pt>
                <c:pt idx="39">
                  <c:v>2.4150981125106123</c:v>
                </c:pt>
                <c:pt idx="40">
                  <c:v>2.4751983222316558</c:v>
                </c:pt>
                <c:pt idx="41">
                  <c:v>2.5352985319526993</c:v>
                </c:pt>
                <c:pt idx="42">
                  <c:v>2.5953987416737427</c:v>
                </c:pt>
                <c:pt idx="43">
                  <c:v>2.6554989513947862</c:v>
                </c:pt>
                <c:pt idx="44">
                  <c:v>2.7155991611158297</c:v>
                </c:pt>
                <c:pt idx="45">
                  <c:v>2.7756993708368731</c:v>
                </c:pt>
                <c:pt idx="46">
                  <c:v>2.8357995805579166</c:v>
                </c:pt>
                <c:pt idx="47">
                  <c:v>2.8958997902789601</c:v>
                </c:pt>
                <c:pt idx="48">
                  <c:v>2.9560000000000004</c:v>
                </c:pt>
                <c:pt idx="49">
                  <c:v>2.9582000000000006</c:v>
                </c:pt>
                <c:pt idx="50">
                  <c:v>2.9604000000000008</c:v>
                </c:pt>
                <c:pt idx="51">
                  <c:v>2.962600000000001</c:v>
                </c:pt>
                <c:pt idx="52">
                  <c:v>2.9648000000000012</c:v>
                </c:pt>
                <c:pt idx="53">
                  <c:v>2.9670000000000014</c:v>
                </c:pt>
                <c:pt idx="54">
                  <c:v>2.9692000000000016</c:v>
                </c:pt>
                <c:pt idx="55">
                  <c:v>2.9714000000000018</c:v>
                </c:pt>
                <c:pt idx="56">
                  <c:v>2.973600000000002</c:v>
                </c:pt>
                <c:pt idx="57">
                  <c:v>2.9758000000000022</c:v>
                </c:pt>
                <c:pt idx="58">
                  <c:v>2.9780000000000024</c:v>
                </c:pt>
                <c:pt idx="59">
                  <c:v>2.9802000000000026</c:v>
                </c:pt>
                <c:pt idx="60">
                  <c:v>2.9824000000000028</c:v>
                </c:pt>
                <c:pt idx="61">
                  <c:v>2.984600000000003</c:v>
                </c:pt>
                <c:pt idx="62">
                  <c:v>2.9868000000000032</c:v>
                </c:pt>
                <c:pt idx="63">
                  <c:v>2.9890000000000034</c:v>
                </c:pt>
                <c:pt idx="64">
                  <c:v>2.9912000000000036</c:v>
                </c:pt>
                <c:pt idx="65">
                  <c:v>2.9934000000000038</c:v>
                </c:pt>
                <c:pt idx="66">
                  <c:v>2.995600000000004</c:v>
                </c:pt>
                <c:pt idx="67">
                  <c:v>2.9978000000000042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</c:numCache>
            </c:numRef>
          </c:xVal>
          <c:yVal>
            <c:numRef>
              <c:f>'Spettri y'!$BA$15:$BA$130</c:f>
              <c:numCache>
                <c:formatCode>0.0000</c:formatCode>
                <c:ptCount val="116"/>
                <c:pt idx="0">
                  <c:v>0.40771089300000007</c:v>
                </c:pt>
                <c:pt idx="1">
                  <c:v>0.40771089300000007</c:v>
                </c:pt>
                <c:pt idx="2">
                  <c:v>0.70228201319250005</c:v>
                </c:pt>
                <c:pt idx="3">
                  <c:v>0.99685313338500015</c:v>
                </c:pt>
                <c:pt idx="4">
                  <c:v>0.99685313338500015</c:v>
                </c:pt>
                <c:pt idx="5">
                  <c:v>0.99685313338500015</c:v>
                </c:pt>
                <c:pt idx="6">
                  <c:v>0.99685313338500015</c:v>
                </c:pt>
                <c:pt idx="7">
                  <c:v>0.99685313338500015</c:v>
                </c:pt>
                <c:pt idx="8">
                  <c:v>0.8989738931568737</c:v>
                </c:pt>
                <c:pt idx="9">
                  <c:v>0.81859727895599399</c:v>
                </c:pt>
                <c:pt idx="10">
                  <c:v>0.75141389856029583</c:v>
                </c:pt>
                <c:pt idx="11">
                  <c:v>0.69442176935921429</c:v>
                </c:pt>
                <c:pt idx="12">
                  <c:v>0.64546546047448383</c:v>
                </c:pt>
                <c:pt idx="13">
                  <c:v>0.60295733791582529</c:v>
                </c:pt>
                <c:pt idx="14">
                  <c:v>0.56570215101639798</c:v>
                </c:pt>
                <c:pt idx="15">
                  <c:v>0.53278286476593661</c:v>
                </c:pt>
                <c:pt idx="16">
                  <c:v>0.50348416187509426</c:v>
                </c:pt>
                <c:pt idx="17">
                  <c:v>0.47723986973344057</c:v>
                </c:pt>
                <c:pt idx="18">
                  <c:v>0.45359601509818781</c:v>
                </c:pt>
                <c:pt idx="19">
                  <c:v>0.43218434264341044</c:v>
                </c:pt>
                <c:pt idx="20">
                  <c:v>0.41270299565209012</c:v>
                </c:pt>
                <c:pt idx="21">
                  <c:v>0.39490219641680213</c:v>
                </c:pt>
                <c:pt idx="22">
                  <c:v>0.37857347922668139</c:v>
                </c:pt>
                <c:pt idx="23">
                  <c:v>0.3635414885045995</c:v>
                </c:pt>
                <c:pt idx="24">
                  <c:v>0.3496576563439226</c:v>
                </c:pt>
                <c:pt idx="25">
                  <c:v>0.33679527550042848</c:v>
                </c:pt>
                <c:pt idx="26">
                  <c:v>0.32484562125956107</c:v>
                </c:pt>
                <c:pt idx="27">
                  <c:v>0.31371487060293901</c:v>
                </c:pt>
                <c:pt idx="28">
                  <c:v>0.31371487060293901</c:v>
                </c:pt>
                <c:pt idx="29">
                  <c:v>0.30332163377488347</c:v>
                </c:pt>
                <c:pt idx="30">
                  <c:v>0.29359496078332226</c:v>
                </c:pt>
                <c:pt idx="31">
                  <c:v>0.28447271953880987</c:v>
                </c:pt>
                <c:pt idx="32">
                  <c:v>0.27590026723767858</c:v>
                </c:pt>
                <c:pt idx="33">
                  <c:v>0.26782935494141252</c:v>
                </c:pt>
                <c:pt idx="34">
                  <c:v>0.26021721895759425</c:v>
                </c:pt>
                <c:pt idx="35">
                  <c:v>0.25302582288511982</c:v>
                </c:pt>
                <c:pt idx="36">
                  <c:v>0.24622122196107679</c:v>
                </c:pt>
                <c:pt idx="37">
                  <c:v>0.23977302728890129</c:v>
                </c:pt>
                <c:pt idx="38">
                  <c:v>0.23365395210482454</c:v>
                </c:pt>
                <c:pt idx="39">
                  <c:v>0.22783942579183239</c:v>
                </c:pt>
                <c:pt idx="40">
                  <c:v>0.22230726412631163</c:v>
                </c:pt>
                <c:pt idx="41">
                  <c:v>0.21703738642626333</c:v>
                </c:pt>
                <c:pt idx="42">
                  <c:v>0.21201157199856824</c:v>
                </c:pt>
                <c:pt idx="43">
                  <c:v>0.20721324965929208</c:v>
                </c:pt>
                <c:pt idx="44">
                  <c:v>0.20262731520334487</c:v>
                </c:pt>
                <c:pt idx="45">
                  <c:v>0.1982399725873247</c:v>
                </c:pt>
                <c:pt idx="46">
                  <c:v>0.19403859530760589</c:v>
                </c:pt>
                <c:pt idx="47">
                  <c:v>0.19001160503981063</c:v>
                </c:pt>
                <c:pt idx="48">
                  <c:v>0.18614836508300273</c:v>
                </c:pt>
                <c:pt idx="49">
                  <c:v>0.18587159263914296</c:v>
                </c:pt>
                <c:pt idx="50">
                  <c:v>0.18559543701034079</c:v>
                </c:pt>
                <c:pt idx="51">
                  <c:v>0.18531989636511145</c:v>
                </c:pt>
                <c:pt idx="52">
                  <c:v>0.18504496887876301</c:v>
                </c:pt>
                <c:pt idx="53">
                  <c:v>0.18477065273336568</c:v>
                </c:pt>
                <c:pt idx="54">
                  <c:v>0.18449694611772235</c:v>
                </c:pt>
                <c:pt idx="55">
                  <c:v>0.18422384722733826</c:v>
                </c:pt>
                <c:pt idx="56">
                  <c:v>0.18395135426439138</c:v>
                </c:pt>
                <c:pt idx="57">
                  <c:v>0.18367946543770289</c:v>
                </c:pt>
                <c:pt idx="58">
                  <c:v>0.18340817896270775</c:v>
                </c:pt>
                <c:pt idx="59">
                  <c:v>0.18313749306142532</c:v>
                </c:pt>
                <c:pt idx="60">
                  <c:v>0.18286740596243017</c:v>
                </c:pt>
                <c:pt idx="61">
                  <c:v>0.18259791590082344</c:v>
                </c:pt>
                <c:pt idx="62">
                  <c:v>0.18232902111820351</c:v>
                </c:pt>
                <c:pt idx="63">
                  <c:v>0.18206071986263778</c:v>
                </c:pt>
                <c:pt idx="64">
                  <c:v>0.18179301038863382</c:v>
                </c:pt>
                <c:pt idx="65">
                  <c:v>0.18152589095711116</c:v>
                </c:pt>
                <c:pt idx="66">
                  <c:v>0.18125935983537292</c:v>
                </c:pt>
                <c:pt idx="67">
                  <c:v>0.18099341529707774</c:v>
                </c:pt>
                <c:pt idx="68">
                  <c:v>0.18072805562221256</c:v>
                </c:pt>
                <c:pt idx="69">
                  <c:v>0.18072805562221256</c:v>
                </c:pt>
                <c:pt idx="70">
                  <c:v>0.18072805562221256</c:v>
                </c:pt>
                <c:pt idx="71">
                  <c:v>0.18072805562221256</c:v>
                </c:pt>
                <c:pt idx="72">
                  <c:v>0.18072805562221256</c:v>
                </c:pt>
                <c:pt idx="73">
                  <c:v>0.18072805562221256</c:v>
                </c:pt>
                <c:pt idx="74">
                  <c:v>0.18072805562221256</c:v>
                </c:pt>
                <c:pt idx="75">
                  <c:v>0.18072805562221256</c:v>
                </c:pt>
                <c:pt idx="76">
                  <c:v>0.18072805562221256</c:v>
                </c:pt>
                <c:pt idx="77">
                  <c:v>0.18072805562221256</c:v>
                </c:pt>
                <c:pt idx="78">
                  <c:v>0.18072805562221256</c:v>
                </c:pt>
                <c:pt idx="79">
                  <c:v>0.18072805562221256</c:v>
                </c:pt>
                <c:pt idx="80">
                  <c:v>0.18072805562221256</c:v>
                </c:pt>
                <c:pt idx="81">
                  <c:v>0.18072805562221256</c:v>
                </c:pt>
                <c:pt idx="82">
                  <c:v>0.18072805562221256</c:v>
                </c:pt>
                <c:pt idx="83">
                  <c:v>0.18072805562221256</c:v>
                </c:pt>
                <c:pt idx="84">
                  <c:v>0.18072805562221256</c:v>
                </c:pt>
                <c:pt idx="85">
                  <c:v>0.18072805562221256</c:v>
                </c:pt>
                <c:pt idx="86">
                  <c:v>0.18072805562221256</c:v>
                </c:pt>
                <c:pt idx="87">
                  <c:v>0.18072805562221256</c:v>
                </c:pt>
                <c:pt idx="88">
                  <c:v>0.18072805562221256</c:v>
                </c:pt>
                <c:pt idx="89">
                  <c:v>0.18072805562221256</c:v>
                </c:pt>
                <c:pt idx="90">
                  <c:v>0.16758870452759356</c:v>
                </c:pt>
                <c:pt idx="91">
                  <c:v>0.15583184387833632</c:v>
                </c:pt>
                <c:pt idx="92">
                  <c:v>0.14527011367492945</c:v>
                </c:pt>
                <c:pt idx="93">
                  <c:v>0.13574685066735076</c:v>
                </c:pt>
                <c:pt idx="94">
                  <c:v>0.12713024516193097</c:v>
                </c:pt>
                <c:pt idx="95">
                  <c:v>0.11930875546935124</c:v>
                </c:pt>
                <c:pt idx="96">
                  <c:v>0.11218747989037252</c:v>
                </c:pt>
                <c:pt idx="97">
                  <c:v>0.10568526436039419</c:v>
                </c:pt>
                <c:pt idx="98">
                  <c:v>9.9732380082135266E-2</c:v>
                </c:pt>
                <c:pt idx="99">
                  <c:v>9.4268646296771383E-2</c:v>
                </c:pt>
                <c:pt idx="100">
                  <c:v>8.924190328752063E-2</c:v>
                </c:pt>
                <c:pt idx="101">
                  <c:v>8.4606762881312858E-2</c:v>
                </c:pt>
                <c:pt idx="102">
                  <c:v>8.0323580276538978E-2</c:v>
                </c:pt>
                <c:pt idx="103">
                  <c:v>7.6357603500384882E-2</c:v>
                </c:pt>
                <c:pt idx="104">
                  <c:v>7.2678266270443673E-2</c:v>
                </c:pt>
                <c:pt idx="105">
                  <c:v>6.9258597279260689E-2</c:v>
                </c:pt>
                <c:pt idx="106">
                  <c:v>6.6074724500062659E-2</c:v>
                </c:pt>
                <c:pt idx="107">
                  <c:v>6.310545743833465E-2</c:v>
                </c:pt>
                <c:pt idx="108">
                  <c:v>6.0331933629933776E-2</c:v>
                </c:pt>
                <c:pt idx="109">
                  <c:v>5.7737318336775006E-2</c:v>
                </c:pt>
                <c:pt idx="110">
                  <c:v>5.5306548483755505E-2</c:v>
                </c:pt>
                <c:pt idx="111">
                  <c:v>5.3026113541933997E-2</c:v>
                </c:pt>
                <c:pt idx="112">
                  <c:v>5.0883867388844622E-2</c:v>
                </c:pt>
                <c:pt idx="113">
                  <c:v>4.8868866240246382E-2</c:v>
                </c:pt>
                <c:pt idx="114">
                  <c:v>4.6971228604619747E-2</c:v>
                </c:pt>
                <c:pt idx="115">
                  <c:v>4.5182013905553139E-2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B3-4A9E-B48D-7283D465CDA1}"/>
            </c:ext>
          </c:extLst>
        </c:ser>
        <c:ser>
          <c:idx val="1"/>
          <c:order val="2"/>
          <c:tx>
            <c:v>SLV</c:v>
          </c:tx>
          <c:spPr>
            <a:ln w="19050"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'Spettri y'!$AU$15:$AU$130</c:f>
              <c:numCache>
                <c:formatCode>0.000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8.8259349900035824E-2</c:v>
                </c:pt>
                <c:pt idx="3">
                  <c:v>0.17651869980007165</c:v>
                </c:pt>
                <c:pt idx="4">
                  <c:v>0.26477804970010749</c:v>
                </c:pt>
                <c:pt idx="5">
                  <c:v>0.35303739960014335</c:v>
                </c:pt>
                <c:pt idx="6">
                  <c:v>0.44129674950017916</c:v>
                </c:pt>
                <c:pt idx="7">
                  <c:v>0.52955609940021497</c:v>
                </c:pt>
                <c:pt idx="8">
                  <c:v>0.58131719691520956</c:v>
                </c:pt>
                <c:pt idx="9">
                  <c:v>0.63307829443020414</c:v>
                </c:pt>
                <c:pt idx="10">
                  <c:v>0.68483939194519872</c:v>
                </c:pt>
                <c:pt idx="11">
                  <c:v>0.7366004894601933</c:v>
                </c:pt>
                <c:pt idx="12">
                  <c:v>0.78836158697518788</c:v>
                </c:pt>
                <c:pt idx="13">
                  <c:v>0.84012268449018246</c:v>
                </c:pt>
                <c:pt idx="14">
                  <c:v>0.89188378200517704</c:v>
                </c:pt>
                <c:pt idx="15">
                  <c:v>0.94364487952017162</c:v>
                </c:pt>
                <c:pt idx="16">
                  <c:v>0.9954059770351662</c:v>
                </c:pt>
                <c:pt idx="17">
                  <c:v>1.0471670745501609</c:v>
                </c:pt>
                <c:pt idx="18">
                  <c:v>1.0989281720651556</c:v>
                </c:pt>
                <c:pt idx="19">
                  <c:v>1.1506892695801503</c:v>
                </c:pt>
                <c:pt idx="20">
                  <c:v>1.202450367095145</c:v>
                </c:pt>
                <c:pt idx="21">
                  <c:v>1.2542114646101397</c:v>
                </c:pt>
                <c:pt idx="22">
                  <c:v>1.3059725621251344</c:v>
                </c:pt>
                <c:pt idx="23">
                  <c:v>1.357733659640129</c:v>
                </c:pt>
                <c:pt idx="24">
                  <c:v>1.4094947571551237</c:v>
                </c:pt>
                <c:pt idx="25">
                  <c:v>1.4612558546701184</c:v>
                </c:pt>
                <c:pt idx="26">
                  <c:v>1.5130169521851131</c:v>
                </c:pt>
                <c:pt idx="27">
                  <c:v>1.5647780497001076</c:v>
                </c:pt>
                <c:pt idx="28">
                  <c:v>1.5647780497001076</c:v>
                </c:pt>
                <c:pt idx="29">
                  <c:v>1.6165391472151023</c:v>
                </c:pt>
                <c:pt idx="30">
                  <c:v>1.668300244730097</c:v>
                </c:pt>
                <c:pt idx="31">
                  <c:v>1.7200613422450917</c:v>
                </c:pt>
                <c:pt idx="32">
                  <c:v>1.7718224397600864</c:v>
                </c:pt>
                <c:pt idx="33">
                  <c:v>1.823583537275081</c:v>
                </c:pt>
                <c:pt idx="34">
                  <c:v>1.8753446347900757</c:v>
                </c:pt>
                <c:pt idx="35">
                  <c:v>1.9271057323050704</c:v>
                </c:pt>
                <c:pt idx="36">
                  <c:v>1.9788668298200651</c:v>
                </c:pt>
                <c:pt idx="37">
                  <c:v>2.0306279273350598</c:v>
                </c:pt>
                <c:pt idx="38">
                  <c:v>2.0823890248500545</c:v>
                </c:pt>
                <c:pt idx="39">
                  <c:v>2.1341501223650492</c:v>
                </c:pt>
                <c:pt idx="40">
                  <c:v>2.1859112198800439</c:v>
                </c:pt>
                <c:pt idx="41">
                  <c:v>2.2376723173950386</c:v>
                </c:pt>
                <c:pt idx="42">
                  <c:v>2.2894334149100333</c:v>
                </c:pt>
                <c:pt idx="43">
                  <c:v>2.341194512425028</c:v>
                </c:pt>
                <c:pt idx="44">
                  <c:v>2.3929556099400227</c:v>
                </c:pt>
                <c:pt idx="45">
                  <c:v>2.4447167074550173</c:v>
                </c:pt>
                <c:pt idx="46">
                  <c:v>2.496477804970012</c:v>
                </c:pt>
                <c:pt idx="47">
                  <c:v>2.5482389024850067</c:v>
                </c:pt>
                <c:pt idx="48">
                  <c:v>2.6</c:v>
                </c:pt>
                <c:pt idx="49">
                  <c:v>2.62</c:v>
                </c:pt>
                <c:pt idx="50">
                  <c:v>2.64</c:v>
                </c:pt>
                <c:pt idx="51">
                  <c:v>2.66</c:v>
                </c:pt>
                <c:pt idx="52">
                  <c:v>2.68</c:v>
                </c:pt>
                <c:pt idx="53">
                  <c:v>2.7</c:v>
                </c:pt>
                <c:pt idx="54">
                  <c:v>2.72</c:v>
                </c:pt>
                <c:pt idx="55">
                  <c:v>2.74</c:v>
                </c:pt>
                <c:pt idx="56">
                  <c:v>2.7600000000000002</c:v>
                </c:pt>
                <c:pt idx="57">
                  <c:v>2.7800000000000002</c:v>
                </c:pt>
                <c:pt idx="58">
                  <c:v>2.8000000000000003</c:v>
                </c:pt>
                <c:pt idx="59">
                  <c:v>2.8200000000000003</c:v>
                </c:pt>
                <c:pt idx="60">
                  <c:v>2.8400000000000003</c:v>
                </c:pt>
                <c:pt idx="61">
                  <c:v>2.8600000000000003</c:v>
                </c:pt>
                <c:pt idx="62">
                  <c:v>2.8800000000000003</c:v>
                </c:pt>
                <c:pt idx="63">
                  <c:v>2.9000000000000004</c:v>
                </c:pt>
                <c:pt idx="64">
                  <c:v>2.9200000000000004</c:v>
                </c:pt>
                <c:pt idx="65">
                  <c:v>2.9400000000000004</c:v>
                </c:pt>
                <c:pt idx="66">
                  <c:v>2.9600000000000004</c:v>
                </c:pt>
                <c:pt idx="67">
                  <c:v>2.9800000000000004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</c:numCache>
            </c:numRef>
          </c:xVal>
          <c:yVal>
            <c:numRef>
              <c:f>'Spettri y'!$AW$15:$AW$130</c:f>
              <c:numCache>
                <c:formatCode>0.0000</c:formatCode>
                <c:ptCount val="116"/>
                <c:pt idx="0">
                  <c:v>0.33462500000000001</c:v>
                </c:pt>
                <c:pt idx="1">
                  <c:v>0.33462500000000001</c:v>
                </c:pt>
                <c:pt idx="2">
                  <c:v>0.57053562499999999</c:v>
                </c:pt>
                <c:pt idx="3">
                  <c:v>0.80644625000000003</c:v>
                </c:pt>
                <c:pt idx="4">
                  <c:v>0.80644625000000003</c:v>
                </c:pt>
                <c:pt idx="5">
                  <c:v>0.80644625000000003</c:v>
                </c:pt>
                <c:pt idx="6">
                  <c:v>0.80644625000000003</c:v>
                </c:pt>
                <c:pt idx="7">
                  <c:v>0.80644625000000003</c:v>
                </c:pt>
                <c:pt idx="8">
                  <c:v>0.73463942369525503</c:v>
                </c:pt>
                <c:pt idx="9">
                  <c:v>0.67457458940414383</c:v>
                </c:pt>
                <c:pt idx="10">
                  <c:v>0.62358931969863107</c:v>
                </c:pt>
                <c:pt idx="11">
                  <c:v>0.57976954487078081</c:v>
                </c:pt>
                <c:pt idx="12">
                  <c:v>0.54170388002348402</c:v>
                </c:pt>
                <c:pt idx="13">
                  <c:v>0.50832876960712658</c:v>
                </c:pt>
                <c:pt idx="14">
                  <c:v>0.47882755482535694</c:v>
                </c:pt>
                <c:pt idx="15">
                  <c:v>0.45256275935400941</c:v>
                </c:pt>
                <c:pt idx="16">
                  <c:v>0.42902950191029776</c:v>
                </c:pt>
                <c:pt idx="17">
                  <c:v>0.40782272562321081</c:v>
                </c:pt>
                <c:pt idx="18">
                  <c:v>0.38861368866664225</c:v>
                </c:pt>
                <c:pt idx="19">
                  <c:v>0.37113279997974657</c:v>
                </c:pt>
                <c:pt idx="20">
                  <c:v>0.35515688814467239</c:v>
                </c:pt>
                <c:pt idx="21">
                  <c:v>0.34049962273202306</c:v>
                </c:pt>
                <c:pt idx="22">
                  <c:v>0.3270042134966471</c:v>
                </c:pt>
                <c:pt idx="23">
                  <c:v>0.31453777955178902</c:v>
                </c:pt>
                <c:pt idx="24">
                  <c:v>0.30298695923345687</c:v>
                </c:pt>
                <c:pt idx="25">
                  <c:v>0.29225445301797609</c:v>
                </c:pt>
                <c:pt idx="26">
                  <c:v>0.28225627605108372</c:v>
                </c:pt>
                <c:pt idx="27">
                  <c:v>0.2729195559765023</c:v>
                </c:pt>
                <c:pt idx="28">
                  <c:v>0.2729195559765023</c:v>
                </c:pt>
                <c:pt idx="29">
                  <c:v>0.26418075384171613</c:v>
                </c:pt>
                <c:pt idx="30">
                  <c:v>0.25598421619546158</c:v>
                </c:pt>
                <c:pt idx="31">
                  <c:v>0.24828098861202069</c:v>
                </c:pt>
                <c:pt idx="32">
                  <c:v>0.24102783718201271</c:v>
                </c:pt>
                <c:pt idx="33">
                  <c:v>0.23418643664883579</c:v>
                </c:pt>
                <c:pt idx="34">
                  <c:v>0.2277226929938321</c:v>
                </c:pt>
                <c:pt idx="35">
                  <c:v>0.22160617519159823</c:v>
                </c:pt>
                <c:pt idx="36">
                  <c:v>0.21580963614654267</c:v>
                </c:pt>
                <c:pt idx="37">
                  <c:v>0.2103086068979611</c:v>
                </c:pt>
                <c:pt idx="38">
                  <c:v>0.20508105134518831</c:v>
                </c:pt>
                <c:pt idx="39">
                  <c:v>0.20010707121796453</c:v>
                </c:pt>
                <c:pt idx="40">
                  <c:v>0.19536865296357567</c:v>
                </c:pt>
                <c:pt idx="41">
                  <c:v>0.19084944976353199</c:v>
                </c:pt>
                <c:pt idx="42">
                  <c:v>0.18653459312015525</c:v>
                </c:pt>
                <c:pt idx="43">
                  <c:v>0.18241052943677882</c:v>
                </c:pt>
                <c:pt idx="44">
                  <c:v>0.17846487780717105</c:v>
                </c:pt>
                <c:pt idx="45">
                  <c:v>0.17468630587079526</c:v>
                </c:pt>
                <c:pt idx="46">
                  <c:v>0.1710644211119115</c:v>
                </c:pt>
                <c:pt idx="47">
                  <c:v>0.16758967540659911</c:v>
                </c:pt>
                <c:pt idx="48">
                  <c:v>0.16425328097151176</c:v>
                </c:pt>
                <c:pt idx="49">
                  <c:v>0.16175516860430911</c:v>
                </c:pt>
                <c:pt idx="50">
                  <c:v>0.15931361618563755</c:v>
                </c:pt>
                <c:pt idx="51">
                  <c:v>0.15692692907561473</c:v>
                </c:pt>
                <c:pt idx="52">
                  <c:v>0.15459347563034911</c:v>
                </c:pt>
                <c:pt idx="53">
                  <c:v>0.15231168441254039</c:v>
                </c:pt>
                <c:pt idx="54">
                  <c:v>0.15008004154512047</c:v>
                </c:pt>
                <c:pt idx="55">
                  <c:v>0.14789708819961364</c:v>
                </c:pt>
                <c:pt idx="56">
                  <c:v>0.14576141821143396</c:v>
                </c:pt>
                <c:pt idx="57">
                  <c:v>0.14367167581484128</c:v>
                </c:pt>
                <c:pt idx="58">
                  <c:v>0.14162655349074227</c:v>
                </c:pt>
                <c:pt idx="59">
                  <c:v>0.13962478992095712</c:v>
                </c:pt>
                <c:pt idx="60">
                  <c:v>0.13766516804297502</c:v>
                </c:pt>
                <c:pt idx="61">
                  <c:v>0.13574651319959646</c:v>
                </c:pt>
                <c:pt idx="62">
                  <c:v>0.13386769137820934</c:v>
                </c:pt>
                <c:pt idx="63">
                  <c:v>0.13202760753477044</c:v>
                </c:pt>
                <c:pt idx="64">
                  <c:v>0.13022520399786772</c:v>
                </c:pt>
                <c:pt idx="65">
                  <c:v>0.12845945894851904</c:v>
                </c:pt>
                <c:pt idx="66">
                  <c:v>0.12672938497162839</c:v>
                </c:pt>
                <c:pt idx="67">
                  <c:v>0.12503402767526453</c:v>
                </c:pt>
                <c:pt idx="68">
                  <c:v>0.12337246437415773</c:v>
                </c:pt>
                <c:pt idx="69">
                  <c:v>0.12337246437415773</c:v>
                </c:pt>
                <c:pt idx="70">
                  <c:v>0.12337246437415773</c:v>
                </c:pt>
                <c:pt idx="71">
                  <c:v>0.12337246437415773</c:v>
                </c:pt>
                <c:pt idx="72">
                  <c:v>0.12337246437415773</c:v>
                </c:pt>
                <c:pt idx="73">
                  <c:v>0.12337246437415773</c:v>
                </c:pt>
                <c:pt idx="74">
                  <c:v>0.12337246437415773</c:v>
                </c:pt>
                <c:pt idx="75">
                  <c:v>0.12337246437415773</c:v>
                </c:pt>
                <c:pt idx="76">
                  <c:v>0.12337246437415773</c:v>
                </c:pt>
                <c:pt idx="77">
                  <c:v>0.12337246437415773</c:v>
                </c:pt>
                <c:pt idx="78">
                  <c:v>0.12337246437415773</c:v>
                </c:pt>
                <c:pt idx="79">
                  <c:v>0.12337246437415773</c:v>
                </c:pt>
                <c:pt idx="80">
                  <c:v>0.12337246437415773</c:v>
                </c:pt>
                <c:pt idx="81">
                  <c:v>0.12337246437415773</c:v>
                </c:pt>
                <c:pt idx="82">
                  <c:v>0.12337246437415773</c:v>
                </c:pt>
                <c:pt idx="83">
                  <c:v>0.12337246437415773</c:v>
                </c:pt>
                <c:pt idx="84">
                  <c:v>0.12337246437415773</c:v>
                </c:pt>
                <c:pt idx="85">
                  <c:v>0.12337246437415773</c:v>
                </c:pt>
                <c:pt idx="86">
                  <c:v>0.12337246437415773</c:v>
                </c:pt>
                <c:pt idx="87">
                  <c:v>0.12337246437415773</c:v>
                </c:pt>
                <c:pt idx="88">
                  <c:v>0.12337246437415773</c:v>
                </c:pt>
                <c:pt idx="89">
                  <c:v>0.12337246437415773</c:v>
                </c:pt>
                <c:pt idx="90">
                  <c:v>0.11440299851430813</c:v>
                </c:pt>
                <c:pt idx="91">
                  <c:v>0.10637727795526865</c:v>
                </c:pt>
                <c:pt idx="92">
                  <c:v>9.9167402992783135E-2</c:v>
                </c:pt>
                <c:pt idx="93">
                  <c:v>9.2666428796589581E-2</c:v>
                </c:pt>
                <c:pt idx="94">
                  <c:v>8.6784376604506358E-2</c:v>
                </c:pt>
                <c:pt idx="95">
                  <c:v>8.144510343450255E-2</c:v>
                </c:pt>
                <c:pt idx="96">
                  <c:v>7.6583825451726928E-2</c:v>
                </c:pt>
                <c:pt idx="97">
                  <c:v>7.2145143526756592E-2</c:v>
                </c:pt>
                <c:pt idx="98">
                  <c:v>6.8081457891371946E-2</c:v>
                </c:pt>
                <c:pt idx="99">
                  <c:v>6.435168666429833E-2</c:v>
                </c:pt>
                <c:pt idx="100">
                  <c:v>6.0920223460139269E-2</c:v>
                </c:pt>
                <c:pt idx="101">
                  <c:v>5.7756084430007397E-2</c:v>
                </c:pt>
                <c:pt idx="102">
                  <c:v>5.4832206388514583E-2</c:v>
                </c:pt>
                <c:pt idx="103">
                  <c:v>5.2124866198081689E-2</c:v>
                </c:pt>
                <c:pt idx="104">
                  <c:v>4.9613198046954618E-2</c:v>
                </c:pt>
                <c:pt idx="105">
                  <c:v>4.7278790202341686E-2</c:v>
                </c:pt>
                <c:pt idx="106">
                  <c:v>4.5105346628951187E-2</c:v>
                </c:pt>
                <c:pt idx="107">
                  <c:v>4.3078401816596459E-2</c:v>
                </c:pt>
                <c:pt idx="108">
                  <c:v>4.1185079465150994E-2</c:v>
                </c:pt>
                <c:pt idx="109">
                  <c:v>3.9413887484371822E-2</c:v>
                </c:pt>
                <c:pt idx="110">
                  <c:v>3.7754543194626879E-2</c:v>
                </c:pt>
                <c:pt idx="111">
                  <c:v>3.6197823748667875E-2</c:v>
                </c:pt>
                <c:pt idx="112">
                  <c:v>3.4735437699679635E-2</c:v>
                </c:pt>
                <c:pt idx="113">
                  <c:v>3.3359914366772325E-2</c:v>
                </c:pt>
                <c:pt idx="114">
                  <c:v>3.2064508234114115E-2</c:v>
                </c:pt>
                <c:pt idx="115">
                  <c:v>3.0843116093539433E-2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4B3-4A9E-B48D-7283D465CDA1}"/>
            </c:ext>
          </c:extLst>
        </c:ser>
        <c:ser>
          <c:idx val="2"/>
          <c:order val="3"/>
          <c:tx>
            <c:v>SLD</c:v>
          </c:tx>
          <c:spPr>
            <a:ln w="12700"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'Spettri y'!$AQ$15:$AQ$130</c:f>
              <c:numCache>
                <c:formatCode>0.000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7.6708688772966063E-2</c:v>
                </c:pt>
                <c:pt idx="3">
                  <c:v>0.15341737754593213</c:v>
                </c:pt>
                <c:pt idx="4">
                  <c:v>0.23012606631889818</c:v>
                </c:pt>
                <c:pt idx="5">
                  <c:v>0.3068347550918642</c:v>
                </c:pt>
                <c:pt idx="6">
                  <c:v>0.38354344386483025</c:v>
                </c:pt>
                <c:pt idx="7">
                  <c:v>0.46025213263779635</c:v>
                </c:pt>
                <c:pt idx="8">
                  <c:v>0.49694582932185144</c:v>
                </c:pt>
                <c:pt idx="9">
                  <c:v>0.53363952600590658</c:v>
                </c:pt>
                <c:pt idx="10">
                  <c:v>0.57033322268996167</c:v>
                </c:pt>
                <c:pt idx="11">
                  <c:v>0.60702691937401676</c:v>
                </c:pt>
                <c:pt idx="12">
                  <c:v>0.64372061605807185</c:v>
                </c:pt>
                <c:pt idx="13">
                  <c:v>0.68041431274212694</c:v>
                </c:pt>
                <c:pt idx="14">
                  <c:v>0.71710800942618202</c:v>
                </c:pt>
                <c:pt idx="15">
                  <c:v>0.75380170611023711</c:v>
                </c:pt>
                <c:pt idx="16">
                  <c:v>0.7904954027942922</c:v>
                </c:pt>
                <c:pt idx="17">
                  <c:v>0.82718909947834729</c:v>
                </c:pt>
                <c:pt idx="18">
                  <c:v>0.86388279616240238</c:v>
                </c:pt>
                <c:pt idx="19">
                  <c:v>0.90057649284645747</c:v>
                </c:pt>
                <c:pt idx="20">
                  <c:v>0.93727018953051255</c:v>
                </c:pt>
                <c:pt idx="21">
                  <c:v>0.97396388621456764</c:v>
                </c:pt>
                <c:pt idx="22">
                  <c:v>1.0106575828986228</c:v>
                </c:pt>
                <c:pt idx="23">
                  <c:v>1.0473512795826778</c:v>
                </c:pt>
                <c:pt idx="24">
                  <c:v>1.0840449762667328</c:v>
                </c:pt>
                <c:pt idx="25">
                  <c:v>1.1207386729507878</c:v>
                </c:pt>
                <c:pt idx="26">
                  <c:v>1.1574323696348428</c:v>
                </c:pt>
                <c:pt idx="27">
                  <c:v>1.1941260663188982</c:v>
                </c:pt>
                <c:pt idx="28">
                  <c:v>1.1941260663188982</c:v>
                </c:pt>
                <c:pt idx="29">
                  <c:v>1.2308197630029534</c:v>
                </c:pt>
                <c:pt idx="30">
                  <c:v>1.2675134596870086</c:v>
                </c:pt>
                <c:pt idx="31">
                  <c:v>1.3042071563710638</c:v>
                </c:pt>
                <c:pt idx="32">
                  <c:v>1.340900853055119</c:v>
                </c:pt>
                <c:pt idx="33">
                  <c:v>1.3775945497391742</c:v>
                </c:pt>
                <c:pt idx="34">
                  <c:v>1.4142882464232294</c:v>
                </c:pt>
                <c:pt idx="35">
                  <c:v>1.4509819431072846</c:v>
                </c:pt>
                <c:pt idx="36">
                  <c:v>1.4876756397913398</c:v>
                </c:pt>
                <c:pt idx="37">
                  <c:v>1.524369336475395</c:v>
                </c:pt>
                <c:pt idx="38">
                  <c:v>1.5610630331594502</c:v>
                </c:pt>
                <c:pt idx="39">
                  <c:v>1.5977567298435054</c:v>
                </c:pt>
                <c:pt idx="40">
                  <c:v>1.6344504265275606</c:v>
                </c:pt>
                <c:pt idx="41">
                  <c:v>1.6711441232116158</c:v>
                </c:pt>
                <c:pt idx="42">
                  <c:v>1.707837819895671</c:v>
                </c:pt>
                <c:pt idx="43">
                  <c:v>1.7445315165797262</c:v>
                </c:pt>
                <c:pt idx="44">
                  <c:v>1.7812252132637814</c:v>
                </c:pt>
                <c:pt idx="45">
                  <c:v>1.8179189099478366</c:v>
                </c:pt>
                <c:pt idx="46">
                  <c:v>1.8546126066318918</c:v>
                </c:pt>
                <c:pt idx="47">
                  <c:v>1.891306303315947</c:v>
                </c:pt>
                <c:pt idx="48">
                  <c:v>1.9280000000000002</c:v>
                </c:pt>
                <c:pt idx="49">
                  <c:v>1.9816000000000003</c:v>
                </c:pt>
                <c:pt idx="50">
                  <c:v>2.0352000000000001</c:v>
                </c:pt>
                <c:pt idx="51">
                  <c:v>2.0888</c:v>
                </c:pt>
                <c:pt idx="52">
                  <c:v>2.1423999999999999</c:v>
                </c:pt>
                <c:pt idx="53">
                  <c:v>2.1959999999999997</c:v>
                </c:pt>
                <c:pt idx="54">
                  <c:v>2.2495999999999996</c:v>
                </c:pt>
                <c:pt idx="55">
                  <c:v>2.3031999999999995</c:v>
                </c:pt>
                <c:pt idx="56">
                  <c:v>2.3567999999999993</c:v>
                </c:pt>
                <c:pt idx="57">
                  <c:v>2.4103999999999992</c:v>
                </c:pt>
                <c:pt idx="58">
                  <c:v>2.4639999999999991</c:v>
                </c:pt>
                <c:pt idx="59">
                  <c:v>2.5175999999999989</c:v>
                </c:pt>
                <c:pt idx="60">
                  <c:v>2.5711999999999988</c:v>
                </c:pt>
                <c:pt idx="61">
                  <c:v>2.6247999999999987</c:v>
                </c:pt>
                <c:pt idx="62">
                  <c:v>2.6783999999999986</c:v>
                </c:pt>
                <c:pt idx="63">
                  <c:v>2.7319999999999984</c:v>
                </c:pt>
                <c:pt idx="64">
                  <c:v>2.7855999999999983</c:v>
                </c:pt>
                <c:pt idx="65">
                  <c:v>2.8391999999999982</c:v>
                </c:pt>
                <c:pt idx="66">
                  <c:v>2.892799999999998</c:v>
                </c:pt>
                <c:pt idx="67">
                  <c:v>2.9463999999999979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</c:numCache>
            </c:numRef>
          </c:xVal>
          <c:yVal>
            <c:numRef>
              <c:f>'Spettri y'!$AS$15:$AS$130</c:f>
              <c:numCache>
                <c:formatCode>0.0000</c:formatCode>
                <c:ptCount val="116"/>
                <c:pt idx="0">
                  <c:v>0.123</c:v>
                </c:pt>
                <c:pt idx="1">
                  <c:v>0.123</c:v>
                </c:pt>
                <c:pt idx="2">
                  <c:v>0.20393399999999998</c:v>
                </c:pt>
                <c:pt idx="3">
                  <c:v>0.28486799999999995</c:v>
                </c:pt>
                <c:pt idx="4">
                  <c:v>0.28486799999999995</c:v>
                </c:pt>
                <c:pt idx="5">
                  <c:v>0.28486799999999995</c:v>
                </c:pt>
                <c:pt idx="6">
                  <c:v>0.28486799999999995</c:v>
                </c:pt>
                <c:pt idx="7">
                  <c:v>0.28486799999999995</c:v>
                </c:pt>
                <c:pt idx="8">
                  <c:v>0.2638337959273796</c:v>
                </c:pt>
                <c:pt idx="9">
                  <c:v>0.24569226627866497</c:v>
                </c:pt>
                <c:pt idx="10">
                  <c:v>0.22988509051231781</c:v>
                </c:pt>
                <c:pt idx="11">
                  <c:v>0.21598894601819177</c:v>
                </c:pt>
                <c:pt idx="12">
                  <c:v>0.2036770320067485</c:v>
                </c:pt>
                <c:pt idx="13">
                  <c:v>0.1926930431428977</c:v>
                </c:pt>
                <c:pt idx="14">
                  <c:v>0.18283313363795323</c:v>
                </c:pt>
                <c:pt idx="15">
                  <c:v>0.17393314907288079</c:v>
                </c:pt>
                <c:pt idx="16">
                  <c:v>0.16585941430753942</c:v>
                </c:pt>
                <c:pt idx="17">
                  <c:v>0.15850197325248452</c:v>
                </c:pt>
                <c:pt idx="18">
                  <c:v>0.15176955149783539</c:v>
                </c:pt>
                <c:pt idx="19">
                  <c:v>0.14558575041844599</c:v>
                </c:pt>
                <c:pt idx="20">
                  <c:v>0.13988613527326474</c:v>
                </c:pt>
                <c:pt idx="21">
                  <c:v>0.13461598153278911</c:v>
                </c:pt>
                <c:pt idx="22">
                  <c:v>0.12972851214773429</c:v>
                </c:pt>
                <c:pt idx="23">
                  <c:v>0.12518350535887598</c:v>
                </c:pt>
                <c:pt idx="24">
                  <c:v>0.12094618525126899</c:v>
                </c:pt>
                <c:pt idx="25">
                  <c:v>0.11698633025222724</c:v>
                </c:pt>
                <c:pt idx="26">
                  <c:v>0.11327755120727086</c:v>
                </c:pt>
                <c:pt idx="27">
                  <c:v>0.10979670255791049</c:v>
                </c:pt>
                <c:pt idx="28">
                  <c:v>0.10979670255791049</c:v>
                </c:pt>
                <c:pt idx="29">
                  <c:v>0.10652339884466833</c:v>
                </c:pt>
                <c:pt idx="30">
                  <c:v>0.10343961519165207</c:v>
                </c:pt>
                <c:pt idx="31">
                  <c:v>0.1005293552330125</c:v>
                </c:pt>
                <c:pt idx="32">
                  <c:v>9.7778373562474208E-2</c:v>
                </c:pt>
                <c:pt idx="33">
                  <c:v>9.5173942539978532E-2</c:v>
                </c:pt>
                <c:pt idx="34">
                  <c:v>9.2704655399524841E-2</c:v>
                </c:pt>
                <c:pt idx="35">
                  <c:v>9.0360259232095411E-2</c:v>
                </c:pt>
                <c:pt idx="36">
                  <c:v>8.813151268555644E-2</c:v>
                </c:pt>
                <c:pt idx="37">
                  <c:v>8.6010064216730617E-2</c:v>
                </c:pt>
                <c:pt idx="38">
                  <c:v>8.3988347514005732E-2</c:v>
                </c:pt>
                <c:pt idx="39">
                  <c:v>8.2059491330138609E-2</c:v>
                </c:pt>
                <c:pt idx="40">
                  <c:v>8.0217241460674507E-2</c:v>
                </c:pt>
                <c:pt idx="41">
                  <c:v>7.8455893001193447E-2</c:v>
                </c:pt>
                <c:pt idx="42">
                  <c:v>7.6770231337465702E-2</c:v>
                </c:pt>
                <c:pt idx="43">
                  <c:v>7.5155480582727488E-2</c:v>
                </c:pt>
                <c:pt idx="44">
                  <c:v>7.360725838818874E-2</c:v>
                </c:pt>
                <c:pt idx="45">
                  <c:v>7.2121536226291777E-2</c:v>
                </c:pt>
                <c:pt idx="46">
                  <c:v>7.0694604388768192E-2</c:v>
                </c:pt>
                <c:pt idx="47">
                  <c:v>6.9323041059183396E-2</c:v>
                </c:pt>
                <c:pt idx="48">
                  <c:v>6.800368491714924E-2</c:v>
                </c:pt>
                <c:pt idx="49">
                  <c:v>6.4374596284573746E-2</c:v>
                </c:pt>
                <c:pt idx="50">
                  <c:v>6.1028446876992382E-2</c:v>
                </c:pt>
                <c:pt idx="51">
                  <c:v>5.7936571032417949E-2</c:v>
                </c:pt>
                <c:pt idx="52">
                  <c:v>5.5073843516710248E-2</c:v>
                </c:pt>
                <c:pt idx="53">
                  <c:v>5.241816747353787E-2</c:v>
                </c:pt>
                <c:pt idx="54">
                  <c:v>4.9950046737222351E-2</c:v>
                </c:pt>
                <c:pt idx="55">
                  <c:v>4.7652226989598742E-2</c:v>
                </c:pt>
                <c:pt idx="56">
                  <c:v>4.5509393381304164E-2</c:v>
                </c:pt>
                <c:pt idx="57">
                  <c:v>4.3507914687124109E-2</c:v>
                </c:pt>
                <c:pt idx="58">
                  <c:v>4.1635625987444642E-2</c:v>
                </c:pt>
                <c:pt idx="59">
                  <c:v>3.9881643385486533E-2</c:v>
                </c:pt>
                <c:pt idx="60">
                  <c:v>3.8236205474657475E-2</c:v>
                </c:pt>
                <c:pt idx="61">
                  <c:v>3.6690537231606778E-2</c:v>
                </c:pt>
                <c:pt idx="62">
                  <c:v>3.5236732781433286E-2</c:v>
                </c:pt>
                <c:pt idx="63">
                  <c:v>3.3867654102651509E-2</c:v>
                </c:pt>
                <c:pt idx="64">
                  <c:v>3.2576843242336236E-2</c:v>
                </c:pt>
                <c:pt idx="65">
                  <c:v>3.135844602067811E-2</c:v>
                </c:pt>
                <c:pt idx="66">
                  <c:v>3.0207145537967862E-2</c:v>
                </c:pt>
                <c:pt idx="67">
                  <c:v>2.9118104070657964E-2</c:v>
                </c:pt>
                <c:pt idx="68">
                  <c:v>2.8086912168340947E-2</c:v>
                </c:pt>
                <c:pt idx="69">
                  <c:v>2.8086912168340947E-2</c:v>
                </c:pt>
                <c:pt idx="70">
                  <c:v>2.8086912168340947E-2</c:v>
                </c:pt>
                <c:pt idx="71">
                  <c:v>2.8086912168340947E-2</c:v>
                </c:pt>
                <c:pt idx="72">
                  <c:v>2.8086912168340947E-2</c:v>
                </c:pt>
                <c:pt idx="73">
                  <c:v>2.8086912168340947E-2</c:v>
                </c:pt>
                <c:pt idx="74">
                  <c:v>2.8086912168340947E-2</c:v>
                </c:pt>
                <c:pt idx="75">
                  <c:v>2.8086912168340947E-2</c:v>
                </c:pt>
                <c:pt idx="76">
                  <c:v>2.8086912168340947E-2</c:v>
                </c:pt>
                <c:pt idx="77">
                  <c:v>2.8086912168340947E-2</c:v>
                </c:pt>
                <c:pt idx="78">
                  <c:v>2.8086912168340947E-2</c:v>
                </c:pt>
                <c:pt idx="79">
                  <c:v>2.8086912168340947E-2</c:v>
                </c:pt>
                <c:pt idx="80">
                  <c:v>2.8086912168340947E-2</c:v>
                </c:pt>
                <c:pt idx="81">
                  <c:v>2.8086912168340947E-2</c:v>
                </c:pt>
                <c:pt idx="82">
                  <c:v>2.8086912168340947E-2</c:v>
                </c:pt>
                <c:pt idx="83">
                  <c:v>2.8086912168340947E-2</c:v>
                </c:pt>
                <c:pt idx="84">
                  <c:v>2.8086912168340947E-2</c:v>
                </c:pt>
                <c:pt idx="85">
                  <c:v>2.8086912168340947E-2</c:v>
                </c:pt>
                <c:pt idx="86">
                  <c:v>2.8086912168340947E-2</c:v>
                </c:pt>
                <c:pt idx="87">
                  <c:v>2.8086912168340947E-2</c:v>
                </c:pt>
                <c:pt idx="88">
                  <c:v>2.8086912168340947E-2</c:v>
                </c:pt>
                <c:pt idx="89">
                  <c:v>2.8086912168340947E-2</c:v>
                </c:pt>
                <c:pt idx="90">
                  <c:v>2.6044928156102168E-2</c:v>
                </c:pt>
                <c:pt idx="91">
                  <c:v>2.4217796716579691E-2</c:v>
                </c:pt>
                <c:pt idx="92">
                  <c:v>2.2576400268488082E-2</c:v>
                </c:pt>
                <c:pt idx="93">
                  <c:v>2.1096391806442755E-2</c:v>
                </c:pt>
                <c:pt idx="94">
                  <c:v>1.9757286811444827E-2</c:v>
                </c:pt>
                <c:pt idx="95">
                  <c:v>1.8541750611131325E-2</c:v>
                </c:pt>
                <c:pt idx="96">
                  <c:v>1.7435034550779136E-2</c:v>
                </c:pt>
                <c:pt idx="97">
                  <c:v>1.6424526492905257E-2</c:v>
                </c:pt>
                <c:pt idx="98">
                  <c:v>1.5499389898611006E-2</c:v>
                </c:pt>
                <c:pt idx="99">
                  <c:v>1.4650272087807472E-2</c:v>
                </c:pt>
                <c:pt idx="100">
                  <c:v>1.3869066928998166E-2</c:v>
                </c:pt>
                <c:pt idx="101">
                  <c:v>1.3148720654985105E-2</c:v>
                </c:pt>
                <c:pt idx="102">
                  <c:v>1.2483072074818207E-2</c:v>
                </c:pt>
                <c:pt idx="103">
                  <c:v>1.1866720391124061E-2</c:v>
                </c:pt>
                <c:pt idx="104">
                  <c:v>1.1294915303865853E-2</c:v>
                </c:pt>
                <c:pt idx="105">
                  <c:v>1.0763465207368766E-2</c:v>
                </c:pt>
                <c:pt idx="106">
                  <c:v>1.026866015456923E-2</c:v>
                </c:pt>
                <c:pt idx="107">
                  <c:v>9.8072069348132795E-3</c:v>
                </c:pt>
                <c:pt idx="108">
                  <c:v>9.3761741361967962E-3</c:v>
                </c:pt>
                <c:pt idx="109">
                  <c:v>8.9729454753301099E-3</c:v>
                </c:pt>
                <c:pt idx="110">
                  <c:v>8.5951800026249497E-3</c:v>
                </c:pt>
                <c:pt idx="111">
                  <c:v>8.2407780493917171E-3</c:v>
                </c:pt>
                <c:pt idx="112">
                  <c:v>7.9078519890872639E-3</c:v>
                </c:pt>
                <c:pt idx="113">
                  <c:v>7.5947010503194089E-3</c:v>
                </c:pt>
                <c:pt idx="114">
                  <c:v>7.299789552402354E-3</c:v>
                </c:pt>
                <c:pt idx="115">
                  <c:v>7.0217280420852369E-3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4B3-4A9E-B48D-7283D465CDA1}"/>
            </c:ext>
          </c:extLst>
        </c:ser>
        <c:ser>
          <c:idx val="3"/>
          <c:order val="4"/>
          <c:tx>
            <c:v>SLO</c:v>
          </c:tx>
          <c:spPr>
            <a:ln w="1270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xVal>
            <c:numRef>
              <c:f>'Spettri y'!$AM$15:$AM$130</c:f>
              <c:numCache>
                <c:formatCode>0.000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7.4581983584264488E-2</c:v>
                </c:pt>
                <c:pt idx="3">
                  <c:v>0.14916396716852898</c:v>
                </c:pt>
                <c:pt idx="4">
                  <c:v>0.22374595075279347</c:v>
                </c:pt>
                <c:pt idx="5">
                  <c:v>0.29832793433705795</c:v>
                </c:pt>
                <c:pt idx="6">
                  <c:v>0.37290991792132244</c:v>
                </c:pt>
                <c:pt idx="7">
                  <c:v>0.44749190150558693</c:v>
                </c:pt>
                <c:pt idx="8">
                  <c:v>0.48240460396794727</c:v>
                </c:pt>
                <c:pt idx="9">
                  <c:v>0.5173173064303076</c:v>
                </c:pt>
                <c:pt idx="10">
                  <c:v>0.55223000889266793</c:v>
                </c:pt>
                <c:pt idx="11">
                  <c:v>0.58714271135502827</c:v>
                </c:pt>
                <c:pt idx="12">
                  <c:v>0.6220554138173886</c:v>
                </c:pt>
                <c:pt idx="13">
                  <c:v>0.65696811627974894</c:v>
                </c:pt>
                <c:pt idx="14">
                  <c:v>0.69188081874210927</c:v>
                </c:pt>
                <c:pt idx="15">
                  <c:v>0.72679352120446961</c:v>
                </c:pt>
                <c:pt idx="16">
                  <c:v>0.76170622366682994</c:v>
                </c:pt>
                <c:pt idx="17">
                  <c:v>0.79661892612919027</c:v>
                </c:pt>
                <c:pt idx="18">
                  <c:v>0.83153162859155061</c:v>
                </c:pt>
                <c:pt idx="19">
                  <c:v>0.86644433105391094</c:v>
                </c:pt>
                <c:pt idx="20">
                  <c:v>0.90135703351627128</c:v>
                </c:pt>
                <c:pt idx="21">
                  <c:v>0.93626973597863161</c:v>
                </c:pt>
                <c:pt idx="22">
                  <c:v>0.97118243844099195</c:v>
                </c:pt>
                <c:pt idx="23">
                  <c:v>1.0060951409033523</c:v>
                </c:pt>
                <c:pt idx="24">
                  <c:v>1.0410078433657126</c:v>
                </c:pt>
                <c:pt idx="25">
                  <c:v>1.0759205458280729</c:v>
                </c:pt>
                <c:pt idx="26">
                  <c:v>1.1108332482904333</c:v>
                </c:pt>
                <c:pt idx="27">
                  <c:v>1.1457459507527936</c:v>
                </c:pt>
                <c:pt idx="28">
                  <c:v>1.1457459507527936</c:v>
                </c:pt>
                <c:pt idx="29">
                  <c:v>1.180658653215154</c:v>
                </c:pt>
                <c:pt idx="30">
                  <c:v>1.2155713556775143</c:v>
                </c:pt>
                <c:pt idx="31">
                  <c:v>1.2504840581398746</c:v>
                </c:pt>
                <c:pt idx="32">
                  <c:v>1.285396760602235</c:v>
                </c:pt>
                <c:pt idx="33">
                  <c:v>1.3203094630645953</c:v>
                </c:pt>
                <c:pt idx="34">
                  <c:v>1.3552221655269556</c:v>
                </c:pt>
                <c:pt idx="35">
                  <c:v>1.390134867989316</c:v>
                </c:pt>
                <c:pt idx="36">
                  <c:v>1.4250475704516763</c:v>
                </c:pt>
                <c:pt idx="37">
                  <c:v>1.4599602729140366</c:v>
                </c:pt>
                <c:pt idx="38">
                  <c:v>1.494872975376397</c:v>
                </c:pt>
                <c:pt idx="39">
                  <c:v>1.5297856778387573</c:v>
                </c:pt>
                <c:pt idx="40">
                  <c:v>1.5646983803011176</c:v>
                </c:pt>
                <c:pt idx="41">
                  <c:v>1.599611082763478</c:v>
                </c:pt>
                <c:pt idx="42">
                  <c:v>1.6345237852258383</c:v>
                </c:pt>
                <c:pt idx="43">
                  <c:v>1.6694364876881986</c:v>
                </c:pt>
                <c:pt idx="44">
                  <c:v>1.704349190150559</c:v>
                </c:pt>
                <c:pt idx="45">
                  <c:v>1.7392618926129193</c:v>
                </c:pt>
                <c:pt idx="46">
                  <c:v>1.7741745950752796</c:v>
                </c:pt>
                <c:pt idx="47">
                  <c:v>1.80908729753764</c:v>
                </c:pt>
                <c:pt idx="48">
                  <c:v>1.8440000000000001</c:v>
                </c:pt>
                <c:pt idx="49">
                  <c:v>1.8729</c:v>
                </c:pt>
                <c:pt idx="50">
                  <c:v>1.9017999999999999</c:v>
                </c:pt>
                <c:pt idx="51">
                  <c:v>1.9306999999999999</c:v>
                </c:pt>
                <c:pt idx="52">
                  <c:v>1.9595999999999998</c:v>
                </c:pt>
                <c:pt idx="53">
                  <c:v>1.9884999999999997</c:v>
                </c:pt>
                <c:pt idx="54">
                  <c:v>2.0173999999999999</c:v>
                </c:pt>
                <c:pt idx="55">
                  <c:v>2.0463</c:v>
                </c:pt>
                <c:pt idx="56">
                  <c:v>2.0752000000000002</c:v>
                </c:pt>
                <c:pt idx="57">
                  <c:v>2.1041000000000003</c:v>
                </c:pt>
                <c:pt idx="58">
                  <c:v>2.1330000000000005</c:v>
                </c:pt>
                <c:pt idx="59">
                  <c:v>2.1619000000000006</c:v>
                </c:pt>
                <c:pt idx="60">
                  <c:v>2.1908000000000007</c:v>
                </c:pt>
                <c:pt idx="61">
                  <c:v>2.2197000000000009</c:v>
                </c:pt>
                <c:pt idx="62">
                  <c:v>2.248600000000001</c:v>
                </c:pt>
                <c:pt idx="63">
                  <c:v>2.2775000000000012</c:v>
                </c:pt>
                <c:pt idx="64">
                  <c:v>2.3064000000000013</c:v>
                </c:pt>
                <c:pt idx="65">
                  <c:v>2.3353000000000015</c:v>
                </c:pt>
                <c:pt idx="66">
                  <c:v>2.3642000000000016</c:v>
                </c:pt>
                <c:pt idx="67">
                  <c:v>2.3931000000000018</c:v>
                </c:pt>
                <c:pt idx="68">
                  <c:v>2.4220000000000002</c:v>
                </c:pt>
                <c:pt idx="69">
                  <c:v>2.4220000000000002</c:v>
                </c:pt>
                <c:pt idx="70">
                  <c:v>2.4509000000000003</c:v>
                </c:pt>
                <c:pt idx="71">
                  <c:v>2.4798000000000004</c:v>
                </c:pt>
                <c:pt idx="72">
                  <c:v>2.5087000000000006</c:v>
                </c:pt>
                <c:pt idx="73">
                  <c:v>2.5376000000000007</c:v>
                </c:pt>
                <c:pt idx="74">
                  <c:v>2.5665000000000009</c:v>
                </c:pt>
                <c:pt idx="75">
                  <c:v>2.595400000000001</c:v>
                </c:pt>
                <c:pt idx="76">
                  <c:v>2.6243000000000012</c:v>
                </c:pt>
                <c:pt idx="77">
                  <c:v>2.6532000000000013</c:v>
                </c:pt>
                <c:pt idx="78">
                  <c:v>2.6821000000000015</c:v>
                </c:pt>
                <c:pt idx="79">
                  <c:v>2.7110000000000016</c:v>
                </c:pt>
                <c:pt idx="80">
                  <c:v>2.7399000000000018</c:v>
                </c:pt>
                <c:pt idx="81">
                  <c:v>2.7688000000000019</c:v>
                </c:pt>
                <c:pt idx="82">
                  <c:v>2.7977000000000021</c:v>
                </c:pt>
                <c:pt idx="83">
                  <c:v>2.8266000000000022</c:v>
                </c:pt>
                <c:pt idx="84">
                  <c:v>2.8555000000000024</c:v>
                </c:pt>
                <c:pt idx="85">
                  <c:v>2.8844000000000025</c:v>
                </c:pt>
                <c:pt idx="86">
                  <c:v>2.9133000000000027</c:v>
                </c:pt>
                <c:pt idx="87">
                  <c:v>2.9422000000000028</c:v>
                </c:pt>
                <c:pt idx="88">
                  <c:v>2.971100000000003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</c:numCache>
            </c:numRef>
          </c:xVal>
          <c:yVal>
            <c:numRef>
              <c:f>'Spettri y'!$AO$15:$AO$130</c:f>
              <c:numCache>
                <c:formatCode>0.0000</c:formatCode>
                <c:ptCount val="116"/>
                <c:pt idx="0">
                  <c:v>9.1499999999999998E-2</c:v>
                </c:pt>
                <c:pt idx="1">
                  <c:v>9.1499999999999998E-2</c:v>
                </c:pt>
                <c:pt idx="2">
                  <c:v>0.15372</c:v>
                </c:pt>
                <c:pt idx="3">
                  <c:v>0.21593999999999999</c:v>
                </c:pt>
                <c:pt idx="4">
                  <c:v>0.21593999999999999</c:v>
                </c:pt>
                <c:pt idx="5">
                  <c:v>0.21593999999999999</c:v>
                </c:pt>
                <c:pt idx="6">
                  <c:v>0.21593999999999999</c:v>
                </c:pt>
                <c:pt idx="7">
                  <c:v>0.21593999999999999</c:v>
                </c:pt>
                <c:pt idx="8">
                  <c:v>0.20031193818692697</c:v>
                </c:pt>
                <c:pt idx="9">
                  <c:v>0.1867932891669738</c:v>
                </c:pt>
                <c:pt idx="10">
                  <c:v>0.17498397344411218</c:v>
                </c:pt>
                <c:pt idx="11">
                  <c:v>0.16457906969177416</c:v>
                </c:pt>
                <c:pt idx="12">
                  <c:v>0.15534211111211979</c:v>
                </c:pt>
                <c:pt idx="13">
                  <c:v>0.14708689632963715</c:v>
                </c:pt>
                <c:pt idx="14">
                  <c:v>0.13966480728111455</c:v>
                </c:pt>
                <c:pt idx="15">
                  <c:v>0.13295578233963234</c:v>
                </c:pt>
                <c:pt idx="16">
                  <c:v>0.12686177191245188</c:v>
                </c:pt>
                <c:pt idx="17">
                  <c:v>0.12130191493271829</c:v>
                </c:pt>
                <c:pt idx="18">
                  <c:v>0.11620893047061942</c:v>
                </c:pt>
                <c:pt idx="19">
                  <c:v>0.11152638172792655</c:v>
                </c:pt>
                <c:pt idx="20">
                  <c:v>0.10720657588275428</c:v>
                </c:pt>
                <c:pt idx="21">
                  <c:v>0.10320893381234085</c:v>
                </c:pt>
                <c:pt idx="22">
                  <c:v>9.9498711453468752E-2</c:v>
                </c:pt>
                <c:pt idx="23">
                  <c:v>9.6045987384804452E-2</c:v>
                </c:pt>
                <c:pt idx="24">
                  <c:v>9.2824854132409471E-2</c:v>
                </c:pt>
                <c:pt idx="25">
                  <c:v>8.9812766923922732E-2</c:v>
                </c:pt>
                <c:pt idx="26">
                  <c:v>8.699001525191262E-2</c:v>
                </c:pt>
                <c:pt idx="27">
                  <c:v>8.433929105106272E-2</c:v>
                </c:pt>
                <c:pt idx="28">
                  <c:v>8.433929105106272E-2</c:v>
                </c:pt>
                <c:pt idx="29">
                  <c:v>8.1845333490735098E-2</c:v>
                </c:pt>
                <c:pt idx="30">
                  <c:v>7.9494634979497103E-2</c:v>
                </c:pt>
                <c:pt idx="31">
                  <c:v>7.7275196418623668E-2</c:v>
                </c:pt>
                <c:pt idx="32">
                  <c:v>7.5176322341004367E-2</c:v>
                </c:pt>
                <c:pt idx="33">
                  <c:v>7.3188448552677532E-2</c:v>
                </c:pt>
                <c:pt idx="34">
                  <c:v>7.130299641575219E-2</c:v>
                </c:pt>
                <c:pt idx="35">
                  <c:v>6.9512249089099976E-2</c:v>
                </c:pt>
                <c:pt idx="36">
                  <c:v>6.7809245961163667E-2</c:v>
                </c:pt>
                <c:pt idx="37">
                  <c:v>6.6187692229626963E-2</c:v>
                </c:pt>
                <c:pt idx="38">
                  <c:v>6.4641881151664693E-2</c:v>
                </c:pt>
                <c:pt idx="39">
                  <c:v>6.3166626940601808E-2</c:v>
                </c:pt>
                <c:pt idx="40">
                  <c:v>6.1757206646127064E-2</c:v>
                </c:pt>
                <c:pt idx="41">
                  <c:v>6.0409309645552495E-2</c:v>
                </c:pt>
                <c:pt idx="42">
                  <c:v>5.9118993608138347E-2</c:v>
                </c:pt>
                <c:pt idx="43">
                  <c:v>5.7882645984891352E-2</c:v>
                </c:pt>
                <c:pt idx="44">
                  <c:v>5.6696950231531019E-2</c:v>
                </c:pt>
                <c:pt idx="45">
                  <c:v>5.5558856099552453E-2</c:v>
                </c:pt>
                <c:pt idx="46">
                  <c:v>5.4465553435013699E-2</c:v>
                </c:pt>
                <c:pt idx="47">
                  <c:v>5.3414449011190364E-2</c:v>
                </c:pt>
                <c:pt idx="48">
                  <c:v>5.2403145993013246E-2</c:v>
                </c:pt>
                <c:pt idx="49">
                  <c:v>5.0798397779877276E-2</c:v>
                </c:pt>
                <c:pt idx="50">
                  <c:v>4.9266250155010516E-2</c:v>
                </c:pt>
                <c:pt idx="51">
                  <c:v>4.7802388884362709E-2</c:v>
                </c:pt>
                <c:pt idx="52">
                  <c:v>4.6402815499675072E-2</c:v>
                </c:pt>
                <c:pt idx="53">
                  <c:v>4.5063819965378948E-2</c:v>
                </c:pt>
                <c:pt idx="54">
                  <c:v>4.3781956066512688E-2</c:v>
                </c:pt>
                <c:pt idx="55">
                  <c:v>4.25540192124279E-2</c:v>
                </c:pt>
                <c:pt idx="56">
                  <c:v>4.1377026389041026E-2</c:v>
                </c:pt>
                <c:pt idx="57">
                  <c:v>4.0248198025191854E-2</c:v>
                </c:pt>
                <c:pt idx="58">
                  <c:v>3.9164941567060664E-2</c:v>
                </c:pt>
                <c:pt idx="59">
                  <c:v>3.8124836579217329E-2</c:v>
                </c:pt>
                <c:pt idx="60">
                  <c:v>3.7125621212271059E-2</c:v>
                </c:pt>
                <c:pt idx="61">
                  <c:v>3.6165179895717367E-2</c:v>
                </c:pt>
                <c:pt idx="62">
                  <c:v>3.5241532130828604E-2</c:v>
                </c:pt>
                <c:pt idx="63">
                  <c:v>3.4352822272635301E-2</c:v>
                </c:pt>
                <c:pt idx="64">
                  <c:v>3.3497310202478578E-2</c:v>
                </c:pt>
                <c:pt idx="65">
                  <c:v>3.2673362803517486E-2</c:v>
                </c:pt>
                <c:pt idx="66">
                  <c:v>3.1879446161155102E-2</c:v>
                </c:pt>
                <c:pt idx="67">
                  <c:v>3.1114118418776111E-2</c:v>
                </c:pt>
                <c:pt idx="68">
                  <c:v>3.0376023226619104E-2</c:v>
                </c:pt>
                <c:pt idx="69">
                  <c:v>3.0376023226619104E-2</c:v>
                </c:pt>
                <c:pt idx="70">
                  <c:v>2.9663883728165207E-2</c:v>
                </c:pt>
                <c:pt idx="71">
                  <c:v>2.8976497034224884E-2</c:v>
                </c:pt>
                <c:pt idx="72">
                  <c:v>2.8312729140038143E-2</c:v>
                </c:pt>
                <c:pt idx="73">
                  <c:v>2.7671510245258511E-2</c:v>
                </c:pt>
                <c:pt idx="74">
                  <c:v>2.705183044073408E-2</c:v>
                </c:pt>
                <c:pt idx="75">
                  <c:v>2.6452735729595035E-2</c:v>
                </c:pt>
                <c:pt idx="76">
                  <c:v>2.587332435335956E-2</c:v>
                </c:pt>
                <c:pt idx="77">
                  <c:v>2.5312743396625047E-2</c:v>
                </c:pt>
                <c:pt idx="78">
                  <c:v>2.4770185646461249E-2</c:v>
                </c:pt>
                <c:pt idx="79">
                  <c:v>2.4244886684900758E-2</c:v>
                </c:pt>
                <c:pt idx="80">
                  <c:v>2.3736122194962454E-2</c:v>
                </c:pt>
                <c:pt idx="81">
                  <c:v>2.3243205462471443E-2</c:v>
                </c:pt>
                <c:pt idx="82">
                  <c:v>2.276548505757961E-2</c:v>
                </c:pt>
                <c:pt idx="83">
                  <c:v>2.2302342681364135E-2</c:v>
                </c:pt>
                <c:pt idx="84">
                  <c:v>2.1853191164206569E-2</c:v>
                </c:pt>
                <c:pt idx="85">
                  <c:v>2.1417472603848006E-2</c:v>
                </c:pt>
                <c:pt idx="86">
                  <c:v>2.099465663209123E-2</c:v>
                </c:pt>
                <c:pt idx="87">
                  <c:v>2.0584238800090776E-2</c:v>
                </c:pt>
                <c:pt idx="88">
                  <c:v>2.0185739073048194E-2</c:v>
                </c:pt>
                <c:pt idx="89">
                  <c:v>1.9798700425922081E-2</c:v>
                </c:pt>
                <c:pt idx="90">
                  <c:v>1.8359288735148596E-2</c:v>
                </c:pt>
                <c:pt idx="91">
                  <c:v>1.7071328428473628E-2</c:v>
                </c:pt>
                <c:pt idx="92">
                  <c:v>1.591429427814902E-2</c:v>
                </c:pt>
                <c:pt idx="93">
                  <c:v>1.4871023875470362E-2</c:v>
                </c:pt>
                <c:pt idx="94">
                  <c:v>1.3927077510846332E-2</c:v>
                </c:pt>
                <c:pt idx="95">
                  <c:v>1.3070235828050121E-2</c:v>
                </c:pt>
                <c:pt idx="96">
                  <c:v>1.2290102376421787E-2</c:v>
                </c:pt>
                <c:pt idx="97">
                  <c:v>1.1577786754258931E-2</c:v>
                </c:pt>
                <c:pt idx="98">
                  <c:v>1.0925650194223124E-2</c:v>
                </c:pt>
                <c:pt idx="99">
                  <c:v>1.0327099913521088E-2</c:v>
                </c:pt>
                <c:pt idx="100">
                  <c:v>9.7764218319381542E-3</c:v>
                </c:pt>
                <c:pt idx="101">
                  <c:v>9.2686436896976011E-3</c:v>
                </c:pt>
                <c:pt idx="102">
                  <c:v>8.7994224115209314E-3</c:v>
                </c:pt>
                <c:pt idx="103">
                  <c:v>8.364950929952087E-3</c:v>
                </c:pt>
                <c:pt idx="104">
                  <c:v>7.9618807185742654E-3</c:v>
                </c:pt>
                <c:pt idx="105">
                  <c:v>7.5872570793216231E-3</c:v>
                </c:pt>
                <c:pt idx="106">
                  <c:v>7.2384648393311766E-3</c:v>
                </c:pt>
                <c:pt idx="107">
                  <c:v>6.9131825867372659E-3</c:v>
                </c:pt>
                <c:pt idx="108">
                  <c:v>6.6093439446535058E-3</c:v>
                </c:pt>
                <c:pt idx="109">
                  <c:v>6.3251046729316399E-3</c:v>
                </c:pt>
                <c:pt idx="110">
                  <c:v>6.0588146165338847E-3</c:v>
                </c:pt>
                <c:pt idx="111">
                  <c:v>5.8089937013556222E-3</c:v>
                </c:pt>
                <c:pt idx="112">
                  <c:v>5.5743113235832377E-3</c:v>
                </c:pt>
                <c:pt idx="113">
                  <c:v>5.3535685951693422E-3</c:v>
                </c:pt>
                <c:pt idx="114">
                  <c:v>5.1456830018928703E-3</c:v>
                </c:pt>
                <c:pt idx="115">
                  <c:v>4.9496751064805203E-3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4B3-4A9E-B48D-7283D465CDA1}"/>
            </c:ext>
          </c:extLst>
        </c:ser>
        <c:ser>
          <c:idx val="6"/>
          <c:order val="5"/>
          <c:tx>
            <c:v>SLV,v</c:v>
          </c:tx>
          <c:spPr>
            <a:ln w="952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'Spettri y'!$BI$15:$BI$104</c:f>
              <c:numCache>
                <c:formatCode>0.000</c:formatCode>
                <c:ptCount val="90"/>
                <c:pt idx="0">
                  <c:v>0</c:v>
                </c:pt>
                <c:pt idx="1">
                  <c:v>0</c:v>
                </c:pt>
                <c:pt idx="2">
                  <c:v>2.5000000000000001E-2</c:v>
                </c:pt>
                <c:pt idx="3">
                  <c:v>0.05</c:v>
                </c:pt>
                <c:pt idx="4">
                  <c:v>7.4999999999999997E-2</c:v>
                </c:pt>
                <c:pt idx="5">
                  <c:v>9.9999999999999992E-2</c:v>
                </c:pt>
                <c:pt idx="6">
                  <c:v>0.12499999999999999</c:v>
                </c:pt>
                <c:pt idx="7">
                  <c:v>0.15</c:v>
                </c:pt>
                <c:pt idx="8">
                  <c:v>0.17124999999999999</c:v>
                </c:pt>
                <c:pt idx="9">
                  <c:v>0.19249999999999998</c:v>
                </c:pt>
                <c:pt idx="10">
                  <c:v>0.21374999999999997</c:v>
                </c:pt>
                <c:pt idx="11">
                  <c:v>0.23499999999999996</c:v>
                </c:pt>
                <c:pt idx="12">
                  <c:v>0.25624999999999998</c:v>
                </c:pt>
                <c:pt idx="13">
                  <c:v>0.27749999999999997</c:v>
                </c:pt>
                <c:pt idx="14">
                  <c:v>0.29874999999999996</c:v>
                </c:pt>
                <c:pt idx="15">
                  <c:v>0.31999999999999995</c:v>
                </c:pt>
                <c:pt idx="16">
                  <c:v>0.34124999999999994</c:v>
                </c:pt>
                <c:pt idx="17">
                  <c:v>0.36249999999999993</c:v>
                </c:pt>
                <c:pt idx="18">
                  <c:v>0.38374999999999992</c:v>
                </c:pt>
                <c:pt idx="19">
                  <c:v>0.40499999999999992</c:v>
                </c:pt>
                <c:pt idx="20">
                  <c:v>0.42624999999999991</c:v>
                </c:pt>
                <c:pt idx="21">
                  <c:v>0.4474999999999999</c:v>
                </c:pt>
                <c:pt idx="22">
                  <c:v>0.46874999999999989</c:v>
                </c:pt>
                <c:pt idx="23">
                  <c:v>0.48999999999999988</c:v>
                </c:pt>
                <c:pt idx="24">
                  <c:v>0.51124999999999987</c:v>
                </c:pt>
                <c:pt idx="25">
                  <c:v>0.53249999999999986</c:v>
                </c:pt>
                <c:pt idx="26">
                  <c:v>0.55374999999999985</c:v>
                </c:pt>
                <c:pt idx="27">
                  <c:v>0.57499999999999996</c:v>
                </c:pt>
                <c:pt idx="28">
                  <c:v>0.57499999999999996</c:v>
                </c:pt>
                <c:pt idx="29">
                  <c:v>0.59624999999999995</c:v>
                </c:pt>
                <c:pt idx="30">
                  <c:v>0.61749999999999994</c:v>
                </c:pt>
                <c:pt idx="31">
                  <c:v>0.63874999999999993</c:v>
                </c:pt>
                <c:pt idx="32">
                  <c:v>0.65999999999999992</c:v>
                </c:pt>
                <c:pt idx="33">
                  <c:v>0.68124999999999991</c:v>
                </c:pt>
                <c:pt idx="34">
                  <c:v>0.7024999999999999</c:v>
                </c:pt>
                <c:pt idx="35">
                  <c:v>0.72374999999999989</c:v>
                </c:pt>
                <c:pt idx="36">
                  <c:v>0.74499999999999988</c:v>
                </c:pt>
                <c:pt idx="37">
                  <c:v>0.76624999999999988</c:v>
                </c:pt>
                <c:pt idx="38">
                  <c:v>0.78749999999999987</c:v>
                </c:pt>
                <c:pt idx="39">
                  <c:v>0.80874999999999986</c:v>
                </c:pt>
                <c:pt idx="40">
                  <c:v>0.82999999999999985</c:v>
                </c:pt>
                <c:pt idx="41">
                  <c:v>0.85124999999999984</c:v>
                </c:pt>
                <c:pt idx="42">
                  <c:v>0.87249999999999983</c:v>
                </c:pt>
                <c:pt idx="43">
                  <c:v>0.89374999999999982</c:v>
                </c:pt>
                <c:pt idx="44">
                  <c:v>0.91499999999999981</c:v>
                </c:pt>
                <c:pt idx="45">
                  <c:v>0.9362499999999998</c:v>
                </c:pt>
                <c:pt idx="46">
                  <c:v>0.9574999999999998</c:v>
                </c:pt>
                <c:pt idx="47">
                  <c:v>0.97874999999999979</c:v>
                </c:pt>
                <c:pt idx="48">
                  <c:v>1</c:v>
                </c:pt>
                <c:pt idx="49">
                  <c:v>1.05</c:v>
                </c:pt>
                <c:pt idx="50">
                  <c:v>1.1000000000000001</c:v>
                </c:pt>
                <c:pt idx="51">
                  <c:v>1.1500000000000001</c:v>
                </c:pt>
                <c:pt idx="52">
                  <c:v>1.2000000000000002</c:v>
                </c:pt>
                <c:pt idx="53">
                  <c:v>1.2500000000000002</c:v>
                </c:pt>
                <c:pt idx="54">
                  <c:v>1.3000000000000003</c:v>
                </c:pt>
                <c:pt idx="55">
                  <c:v>1.3500000000000003</c:v>
                </c:pt>
                <c:pt idx="56">
                  <c:v>1.4000000000000004</c:v>
                </c:pt>
                <c:pt idx="57">
                  <c:v>1.4500000000000004</c:v>
                </c:pt>
                <c:pt idx="58">
                  <c:v>1.5000000000000004</c:v>
                </c:pt>
                <c:pt idx="59">
                  <c:v>1.5500000000000005</c:v>
                </c:pt>
                <c:pt idx="60">
                  <c:v>1.6000000000000005</c:v>
                </c:pt>
                <c:pt idx="61">
                  <c:v>1.6500000000000006</c:v>
                </c:pt>
                <c:pt idx="62">
                  <c:v>1.7000000000000006</c:v>
                </c:pt>
                <c:pt idx="63">
                  <c:v>1.7500000000000007</c:v>
                </c:pt>
                <c:pt idx="64">
                  <c:v>1.8000000000000007</c:v>
                </c:pt>
                <c:pt idx="65">
                  <c:v>1.8500000000000008</c:v>
                </c:pt>
                <c:pt idx="66">
                  <c:v>1.9000000000000008</c:v>
                </c:pt>
                <c:pt idx="67">
                  <c:v>1.9500000000000008</c:v>
                </c:pt>
                <c:pt idx="68">
                  <c:v>2</c:v>
                </c:pt>
                <c:pt idx="69">
                  <c:v>2</c:v>
                </c:pt>
                <c:pt idx="70">
                  <c:v>2.0499999999999998</c:v>
                </c:pt>
                <c:pt idx="71">
                  <c:v>2.0999999999999996</c:v>
                </c:pt>
                <c:pt idx="72">
                  <c:v>2.1499999999999995</c:v>
                </c:pt>
                <c:pt idx="73">
                  <c:v>2.1999999999999993</c:v>
                </c:pt>
                <c:pt idx="74">
                  <c:v>2.2499999999999991</c:v>
                </c:pt>
                <c:pt idx="75">
                  <c:v>2.2999999999999989</c:v>
                </c:pt>
                <c:pt idx="76">
                  <c:v>2.3499999999999988</c:v>
                </c:pt>
                <c:pt idx="77">
                  <c:v>2.3999999999999986</c:v>
                </c:pt>
                <c:pt idx="78">
                  <c:v>2.4499999999999984</c:v>
                </c:pt>
                <c:pt idx="79">
                  <c:v>2.4999999999999982</c:v>
                </c:pt>
                <c:pt idx="80">
                  <c:v>2.549999999999998</c:v>
                </c:pt>
                <c:pt idx="81">
                  <c:v>2.5999999999999979</c:v>
                </c:pt>
                <c:pt idx="82">
                  <c:v>2.6499999999999977</c:v>
                </c:pt>
                <c:pt idx="83">
                  <c:v>2.6999999999999975</c:v>
                </c:pt>
                <c:pt idx="84">
                  <c:v>2.7499999999999973</c:v>
                </c:pt>
                <c:pt idx="85">
                  <c:v>2.7999999999999972</c:v>
                </c:pt>
                <c:pt idx="86">
                  <c:v>2.849999999999997</c:v>
                </c:pt>
                <c:pt idx="87">
                  <c:v>2.8999999999999968</c:v>
                </c:pt>
                <c:pt idx="88">
                  <c:v>2.9499999999999966</c:v>
                </c:pt>
                <c:pt idx="89">
                  <c:v>3</c:v>
                </c:pt>
              </c:numCache>
            </c:numRef>
          </c:xVal>
          <c:yVal>
            <c:numRef>
              <c:f>'Spettri y'!$BJ$15:$BJ$104</c:f>
              <c:numCache>
                <c:formatCode>0.0000</c:formatCode>
                <c:ptCount val="90"/>
                <c:pt idx="0">
                  <c:v>0.25</c:v>
                </c:pt>
                <c:pt idx="1">
                  <c:v>0.25</c:v>
                </c:pt>
                <c:pt idx="2">
                  <c:v>0.32834375000000005</c:v>
                </c:pt>
                <c:pt idx="3">
                  <c:v>0.40668750000000004</c:v>
                </c:pt>
                <c:pt idx="4">
                  <c:v>0.40668750000000004</c:v>
                </c:pt>
                <c:pt idx="5">
                  <c:v>0.40668750000000004</c:v>
                </c:pt>
                <c:pt idx="6">
                  <c:v>0.40668750000000004</c:v>
                </c:pt>
                <c:pt idx="7">
                  <c:v>0.40668750000000004</c:v>
                </c:pt>
                <c:pt idx="8">
                  <c:v>0.35622262773722635</c:v>
                </c:pt>
                <c:pt idx="9">
                  <c:v>0.31689935064935071</c:v>
                </c:pt>
                <c:pt idx="10">
                  <c:v>0.28539473684210531</c:v>
                </c:pt>
                <c:pt idx="11">
                  <c:v>0.25958776595744687</c:v>
                </c:pt>
                <c:pt idx="12">
                  <c:v>0.23806097560975614</c:v>
                </c:pt>
                <c:pt idx="13">
                  <c:v>0.21983108108108113</c:v>
                </c:pt>
                <c:pt idx="14">
                  <c:v>0.2041945606694561</c:v>
                </c:pt>
                <c:pt idx="15">
                  <c:v>0.19063476562500004</c:v>
                </c:pt>
                <c:pt idx="16">
                  <c:v>0.17876373626373632</c:v>
                </c:pt>
                <c:pt idx="17">
                  <c:v>0.16828448275862073</c:v>
                </c:pt>
                <c:pt idx="18">
                  <c:v>0.15896579804560265</c:v>
                </c:pt>
                <c:pt idx="19">
                  <c:v>0.15062500000000004</c:v>
                </c:pt>
                <c:pt idx="20">
                  <c:v>0.14311583577712614</c:v>
                </c:pt>
                <c:pt idx="21">
                  <c:v>0.13631983240223469</c:v>
                </c:pt>
                <c:pt idx="22">
                  <c:v>0.13014000000000003</c:v>
                </c:pt>
                <c:pt idx="23">
                  <c:v>0.12449617346938779</c:v>
                </c:pt>
                <c:pt idx="24">
                  <c:v>0.11932151589242058</c:v>
                </c:pt>
                <c:pt idx="25">
                  <c:v>0.11455985915492961</c:v>
                </c:pt>
                <c:pt idx="26">
                  <c:v>0.11016365688487588</c:v>
                </c:pt>
                <c:pt idx="27">
                  <c:v>0.10609239130434785</c:v>
                </c:pt>
                <c:pt idx="28">
                  <c:v>0.10609239130434785</c:v>
                </c:pt>
                <c:pt idx="29">
                  <c:v>0.10231132075471699</c:v>
                </c:pt>
                <c:pt idx="30">
                  <c:v>9.8790485829959529E-2</c:v>
                </c:pt>
                <c:pt idx="31">
                  <c:v>9.5503913894324874E-2</c:v>
                </c:pt>
                <c:pt idx="32">
                  <c:v>9.2428977272727295E-2</c:v>
                </c:pt>
                <c:pt idx="33">
                  <c:v>8.9545871559633047E-2</c:v>
                </c:pt>
                <c:pt idx="34">
                  <c:v>8.6837188612099658E-2</c:v>
                </c:pt>
                <c:pt idx="35">
                  <c:v>8.4287564766839393E-2</c:v>
                </c:pt>
                <c:pt idx="36">
                  <c:v>8.1883389261744988E-2</c:v>
                </c:pt>
                <c:pt idx="37">
                  <c:v>7.9612561174551413E-2</c:v>
                </c:pt>
                <c:pt idx="38">
                  <c:v>7.7464285714285736E-2</c:v>
                </c:pt>
                <c:pt idx="39">
                  <c:v>7.5428902627511618E-2</c:v>
                </c:pt>
                <c:pt idx="40">
                  <c:v>7.3497740963855446E-2</c:v>
                </c:pt>
                <c:pt idx="41">
                  <c:v>7.1662995594713674E-2</c:v>
                </c:pt>
                <c:pt idx="42">
                  <c:v>6.9917621776504318E-2</c:v>
                </c:pt>
                <c:pt idx="43">
                  <c:v>6.8255244755244776E-2</c:v>
                </c:pt>
                <c:pt idx="44">
                  <c:v>6.6670081967213135E-2</c:v>
                </c:pt>
                <c:pt idx="45">
                  <c:v>6.5156875834445946E-2</c:v>
                </c:pt>
                <c:pt idx="46">
                  <c:v>6.3710835509138405E-2</c:v>
                </c:pt>
                <c:pt idx="47">
                  <c:v>6.2327586206896574E-2</c:v>
                </c:pt>
                <c:pt idx="48">
                  <c:v>6.1003125000000005E-2</c:v>
                </c:pt>
                <c:pt idx="49">
                  <c:v>5.5331632653061229E-2</c:v>
                </c:pt>
                <c:pt idx="50">
                  <c:v>5.0415805785123967E-2</c:v>
                </c:pt>
                <c:pt idx="51">
                  <c:v>4.6127126654064265E-2</c:v>
                </c:pt>
                <c:pt idx="52">
                  <c:v>4.2363281249999996E-2</c:v>
                </c:pt>
                <c:pt idx="53">
                  <c:v>3.9041999999999993E-2</c:v>
                </c:pt>
                <c:pt idx="54">
                  <c:v>3.6096523668639045E-2</c:v>
                </c:pt>
                <c:pt idx="55">
                  <c:v>3.3472222222222209E-2</c:v>
                </c:pt>
                <c:pt idx="56">
                  <c:v>3.1124043367346924E-2</c:v>
                </c:pt>
                <c:pt idx="57">
                  <c:v>2.9014565992865619E-2</c:v>
                </c:pt>
                <c:pt idx="58">
                  <c:v>2.7112499999999987E-2</c:v>
                </c:pt>
                <c:pt idx="59">
                  <c:v>2.5391519250780422E-2</c:v>
                </c:pt>
                <c:pt idx="60">
                  <c:v>2.3829345703124984E-2</c:v>
                </c:pt>
                <c:pt idx="61">
                  <c:v>2.2407024793388415E-2</c:v>
                </c:pt>
                <c:pt idx="62">
                  <c:v>2.110834775086504E-2</c:v>
                </c:pt>
                <c:pt idx="63">
                  <c:v>1.991938775510203E-2</c:v>
                </c:pt>
                <c:pt idx="64">
                  <c:v>1.8828124999999987E-2</c:v>
                </c:pt>
                <c:pt idx="65">
                  <c:v>1.782414170927683E-2</c:v>
                </c:pt>
                <c:pt idx="66">
                  <c:v>1.6898372576177274E-2</c:v>
                </c:pt>
                <c:pt idx="67">
                  <c:v>1.604289940828401E-2</c:v>
                </c:pt>
                <c:pt idx="68">
                  <c:v>1.5250781250000001E-2</c:v>
                </c:pt>
                <c:pt idx="69">
                  <c:v>1.5250781250000001E-2</c:v>
                </c:pt>
                <c:pt idx="70">
                  <c:v>1.451591314693635E-2</c:v>
                </c:pt>
                <c:pt idx="71">
                  <c:v>1.3832908163265312E-2</c:v>
                </c:pt>
                <c:pt idx="72">
                  <c:v>1.319699837750136E-2</c:v>
                </c:pt>
                <c:pt idx="73">
                  <c:v>1.2603951446281E-2</c:v>
                </c:pt>
                <c:pt idx="74">
                  <c:v>1.205000000000001E-2</c:v>
                </c:pt>
                <c:pt idx="75">
                  <c:v>1.153178166351608E-2</c:v>
                </c:pt>
                <c:pt idx="76">
                  <c:v>1.1046287913082856E-2</c:v>
                </c:pt>
                <c:pt idx="77">
                  <c:v>1.0590820312500013E-2</c:v>
                </c:pt>
                <c:pt idx="78">
                  <c:v>1.0162952936276564E-2</c:v>
                </c:pt>
                <c:pt idx="79">
                  <c:v>9.760500000000014E-3</c:v>
                </c:pt>
                <c:pt idx="80">
                  <c:v>9.3814878892733728E-3</c:v>
                </c:pt>
                <c:pt idx="81">
                  <c:v>9.0241309171597787E-3</c:v>
                </c:pt>
                <c:pt idx="82">
                  <c:v>8.6868102527590044E-3</c:v>
                </c:pt>
                <c:pt idx="83">
                  <c:v>8.3680555555555713E-3</c:v>
                </c:pt>
                <c:pt idx="84">
                  <c:v>8.0665289256198498E-3</c:v>
                </c:pt>
                <c:pt idx="85">
                  <c:v>7.781010841836751E-3</c:v>
                </c:pt>
                <c:pt idx="86">
                  <c:v>7.5103878116343659E-3</c:v>
                </c:pt>
                <c:pt idx="87">
                  <c:v>7.2536414982164264E-3</c:v>
                </c:pt>
                <c:pt idx="88">
                  <c:v>7.0098391266877509E-3</c:v>
                </c:pt>
                <c:pt idx="89">
                  <c:v>6.7781250000000003E-3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4B3-4A9E-B48D-7283D465C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337024"/>
        <c:axId val="152351104"/>
      </c:scatterChart>
      <c:valAx>
        <c:axId val="152337024"/>
        <c:scaling>
          <c:orientation val="minMax"/>
          <c:max val="3"/>
          <c:min val="0"/>
        </c:scaling>
        <c:delete val="0"/>
        <c:axPos val="b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52351104"/>
        <c:crosses val="autoZero"/>
        <c:crossBetween val="midCat"/>
      </c:valAx>
      <c:valAx>
        <c:axId val="152351104"/>
        <c:scaling>
          <c:orientation val="minMax"/>
          <c:max val="1.2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5233702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3436111715658337"/>
          <c:y val="0.2081763779527559"/>
          <c:w val="0.17846365790440527"/>
          <c:h val="0.401967104111986"/>
        </c:manualLayout>
      </c:layout>
      <c:overlay val="1"/>
      <c:spPr>
        <a:solidFill>
          <a:schemeClr val="bg1"/>
        </a:solidFill>
      </c:spPr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en-US"/>
              <a:t>Spettri elastici e spettri di progetto SLV e SLD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5"/>
          <c:order val="0"/>
          <c:tx>
            <c:v/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ysClr val="windowText" lastClr="000000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'Spettri y'!$AA$21:$AA$22</c:f>
              <c:numCache>
                <c:formatCode>General</c:formatCode>
                <c:ptCount val="2"/>
                <c:pt idx="0">
                  <c:v>0.61099999999999999</c:v>
                </c:pt>
                <c:pt idx="1">
                  <c:v>0.61099999999999999</c:v>
                </c:pt>
              </c:numCache>
            </c:numRef>
          </c:xVal>
          <c:yVal>
            <c:numRef>
              <c:f>'Spettri y'!$AB$21:$AB$22</c:f>
              <c:numCache>
                <c:formatCode>0.000</c:formatCode>
                <c:ptCount val="2"/>
                <c:pt idx="0">
                  <c:v>0.69895013179366716</c:v>
                </c:pt>
                <c:pt idx="1">
                  <c:v>0.14871279399865259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0C-4C38-9917-67BEBCC1374B}"/>
            </c:ext>
          </c:extLst>
        </c:ser>
        <c:ser>
          <c:idx val="1"/>
          <c:order val="1"/>
          <c:tx>
            <c:v>Se,SLV</c:v>
          </c:tx>
          <c:spPr>
            <a:ln w="9525">
              <a:solidFill>
                <a:prstClr val="black"/>
              </a:solidFill>
              <a:prstDash val="dash"/>
            </a:ln>
          </c:spPr>
          <c:marker>
            <c:symbol val="none"/>
          </c:marker>
          <c:xVal>
            <c:numRef>
              <c:f>'Spettri y'!$AU$15:$AU$130</c:f>
              <c:numCache>
                <c:formatCode>0.000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8.8259349900035824E-2</c:v>
                </c:pt>
                <c:pt idx="3">
                  <c:v>0.17651869980007165</c:v>
                </c:pt>
                <c:pt idx="4">
                  <c:v>0.26477804970010749</c:v>
                </c:pt>
                <c:pt idx="5">
                  <c:v>0.35303739960014335</c:v>
                </c:pt>
                <c:pt idx="6">
                  <c:v>0.44129674950017916</c:v>
                </c:pt>
                <c:pt idx="7">
                  <c:v>0.52955609940021497</c:v>
                </c:pt>
                <c:pt idx="8">
                  <c:v>0.58131719691520956</c:v>
                </c:pt>
                <c:pt idx="9">
                  <c:v>0.63307829443020414</c:v>
                </c:pt>
                <c:pt idx="10">
                  <c:v>0.68483939194519872</c:v>
                </c:pt>
                <c:pt idx="11">
                  <c:v>0.7366004894601933</c:v>
                </c:pt>
                <c:pt idx="12">
                  <c:v>0.78836158697518788</c:v>
                </c:pt>
                <c:pt idx="13">
                  <c:v>0.84012268449018246</c:v>
                </c:pt>
                <c:pt idx="14">
                  <c:v>0.89188378200517704</c:v>
                </c:pt>
                <c:pt idx="15">
                  <c:v>0.94364487952017162</c:v>
                </c:pt>
                <c:pt idx="16">
                  <c:v>0.9954059770351662</c:v>
                </c:pt>
                <c:pt idx="17">
                  <c:v>1.0471670745501609</c:v>
                </c:pt>
                <c:pt idx="18">
                  <c:v>1.0989281720651556</c:v>
                </c:pt>
                <c:pt idx="19">
                  <c:v>1.1506892695801503</c:v>
                </c:pt>
                <c:pt idx="20">
                  <c:v>1.202450367095145</c:v>
                </c:pt>
                <c:pt idx="21">
                  <c:v>1.2542114646101397</c:v>
                </c:pt>
                <c:pt idx="22">
                  <c:v>1.3059725621251344</c:v>
                </c:pt>
                <c:pt idx="23">
                  <c:v>1.357733659640129</c:v>
                </c:pt>
                <c:pt idx="24">
                  <c:v>1.4094947571551237</c:v>
                </c:pt>
                <c:pt idx="25">
                  <c:v>1.4612558546701184</c:v>
                </c:pt>
                <c:pt idx="26">
                  <c:v>1.5130169521851131</c:v>
                </c:pt>
                <c:pt idx="27">
                  <c:v>1.5647780497001076</c:v>
                </c:pt>
                <c:pt idx="28">
                  <c:v>1.5647780497001076</c:v>
                </c:pt>
                <c:pt idx="29">
                  <c:v>1.6165391472151023</c:v>
                </c:pt>
                <c:pt idx="30">
                  <c:v>1.668300244730097</c:v>
                </c:pt>
                <c:pt idx="31">
                  <c:v>1.7200613422450917</c:v>
                </c:pt>
                <c:pt idx="32">
                  <c:v>1.7718224397600864</c:v>
                </c:pt>
                <c:pt idx="33">
                  <c:v>1.823583537275081</c:v>
                </c:pt>
                <c:pt idx="34">
                  <c:v>1.8753446347900757</c:v>
                </c:pt>
                <c:pt idx="35">
                  <c:v>1.9271057323050704</c:v>
                </c:pt>
                <c:pt idx="36">
                  <c:v>1.9788668298200651</c:v>
                </c:pt>
                <c:pt idx="37">
                  <c:v>2.0306279273350598</c:v>
                </c:pt>
                <c:pt idx="38">
                  <c:v>2.0823890248500545</c:v>
                </c:pt>
                <c:pt idx="39">
                  <c:v>2.1341501223650492</c:v>
                </c:pt>
                <c:pt idx="40">
                  <c:v>2.1859112198800439</c:v>
                </c:pt>
                <c:pt idx="41">
                  <c:v>2.2376723173950386</c:v>
                </c:pt>
                <c:pt idx="42">
                  <c:v>2.2894334149100333</c:v>
                </c:pt>
                <c:pt idx="43">
                  <c:v>2.341194512425028</c:v>
                </c:pt>
                <c:pt idx="44">
                  <c:v>2.3929556099400227</c:v>
                </c:pt>
                <c:pt idx="45">
                  <c:v>2.4447167074550173</c:v>
                </c:pt>
                <c:pt idx="46">
                  <c:v>2.496477804970012</c:v>
                </c:pt>
                <c:pt idx="47">
                  <c:v>2.5482389024850067</c:v>
                </c:pt>
                <c:pt idx="48">
                  <c:v>2.6</c:v>
                </c:pt>
                <c:pt idx="49">
                  <c:v>2.62</c:v>
                </c:pt>
                <c:pt idx="50">
                  <c:v>2.64</c:v>
                </c:pt>
                <c:pt idx="51">
                  <c:v>2.66</c:v>
                </c:pt>
                <c:pt idx="52">
                  <c:v>2.68</c:v>
                </c:pt>
                <c:pt idx="53">
                  <c:v>2.7</c:v>
                </c:pt>
                <c:pt idx="54">
                  <c:v>2.72</c:v>
                </c:pt>
                <c:pt idx="55">
                  <c:v>2.74</c:v>
                </c:pt>
                <c:pt idx="56">
                  <c:v>2.7600000000000002</c:v>
                </c:pt>
                <c:pt idx="57">
                  <c:v>2.7800000000000002</c:v>
                </c:pt>
                <c:pt idx="58">
                  <c:v>2.8000000000000003</c:v>
                </c:pt>
                <c:pt idx="59">
                  <c:v>2.8200000000000003</c:v>
                </c:pt>
                <c:pt idx="60">
                  <c:v>2.8400000000000003</c:v>
                </c:pt>
                <c:pt idx="61">
                  <c:v>2.8600000000000003</c:v>
                </c:pt>
                <c:pt idx="62">
                  <c:v>2.8800000000000003</c:v>
                </c:pt>
                <c:pt idx="63">
                  <c:v>2.9000000000000004</c:v>
                </c:pt>
                <c:pt idx="64">
                  <c:v>2.9200000000000004</c:v>
                </c:pt>
                <c:pt idx="65">
                  <c:v>2.9400000000000004</c:v>
                </c:pt>
                <c:pt idx="66">
                  <c:v>2.9600000000000004</c:v>
                </c:pt>
                <c:pt idx="67">
                  <c:v>2.9800000000000004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</c:numCache>
            </c:numRef>
          </c:xVal>
          <c:yVal>
            <c:numRef>
              <c:f>'Spettri y'!$AW$15:$AW$130</c:f>
              <c:numCache>
                <c:formatCode>0.0000</c:formatCode>
                <c:ptCount val="116"/>
                <c:pt idx="0">
                  <c:v>0.33462500000000001</c:v>
                </c:pt>
                <c:pt idx="1">
                  <c:v>0.33462500000000001</c:v>
                </c:pt>
                <c:pt idx="2">
                  <c:v>0.57053562499999999</c:v>
                </c:pt>
                <c:pt idx="3">
                  <c:v>0.80644625000000003</c:v>
                </c:pt>
                <c:pt idx="4">
                  <c:v>0.80644625000000003</c:v>
                </c:pt>
                <c:pt idx="5">
                  <c:v>0.80644625000000003</c:v>
                </c:pt>
                <c:pt idx="6">
                  <c:v>0.80644625000000003</c:v>
                </c:pt>
                <c:pt idx="7">
                  <c:v>0.80644625000000003</c:v>
                </c:pt>
                <c:pt idx="8">
                  <c:v>0.73463942369525503</c:v>
                </c:pt>
                <c:pt idx="9">
                  <c:v>0.67457458940414383</c:v>
                </c:pt>
                <c:pt idx="10">
                  <c:v>0.62358931969863107</c:v>
                </c:pt>
                <c:pt idx="11">
                  <c:v>0.57976954487078081</c:v>
                </c:pt>
                <c:pt idx="12">
                  <c:v>0.54170388002348402</c:v>
                </c:pt>
                <c:pt idx="13">
                  <c:v>0.50832876960712658</c:v>
                </c:pt>
                <c:pt idx="14">
                  <c:v>0.47882755482535694</c:v>
                </c:pt>
                <c:pt idx="15">
                  <c:v>0.45256275935400941</c:v>
                </c:pt>
                <c:pt idx="16">
                  <c:v>0.42902950191029776</c:v>
                </c:pt>
                <c:pt idx="17">
                  <c:v>0.40782272562321081</c:v>
                </c:pt>
                <c:pt idx="18">
                  <c:v>0.38861368866664225</c:v>
                </c:pt>
                <c:pt idx="19">
                  <c:v>0.37113279997974657</c:v>
                </c:pt>
                <c:pt idx="20">
                  <c:v>0.35515688814467239</c:v>
                </c:pt>
                <c:pt idx="21">
                  <c:v>0.34049962273202306</c:v>
                </c:pt>
                <c:pt idx="22">
                  <c:v>0.3270042134966471</c:v>
                </c:pt>
                <c:pt idx="23">
                  <c:v>0.31453777955178902</c:v>
                </c:pt>
                <c:pt idx="24">
                  <c:v>0.30298695923345687</c:v>
                </c:pt>
                <c:pt idx="25">
                  <c:v>0.29225445301797609</c:v>
                </c:pt>
                <c:pt idx="26">
                  <c:v>0.28225627605108372</c:v>
                </c:pt>
                <c:pt idx="27">
                  <c:v>0.2729195559765023</c:v>
                </c:pt>
                <c:pt idx="28">
                  <c:v>0.2729195559765023</c:v>
                </c:pt>
                <c:pt idx="29">
                  <c:v>0.26418075384171613</c:v>
                </c:pt>
                <c:pt idx="30">
                  <c:v>0.25598421619546158</c:v>
                </c:pt>
                <c:pt idx="31">
                  <c:v>0.24828098861202069</c:v>
                </c:pt>
                <c:pt idx="32">
                  <c:v>0.24102783718201271</c:v>
                </c:pt>
                <c:pt idx="33">
                  <c:v>0.23418643664883579</c:v>
                </c:pt>
                <c:pt idx="34">
                  <c:v>0.2277226929938321</c:v>
                </c:pt>
                <c:pt idx="35">
                  <c:v>0.22160617519159823</c:v>
                </c:pt>
                <c:pt idx="36">
                  <c:v>0.21580963614654267</c:v>
                </c:pt>
                <c:pt idx="37">
                  <c:v>0.2103086068979611</c:v>
                </c:pt>
                <c:pt idx="38">
                  <c:v>0.20508105134518831</c:v>
                </c:pt>
                <c:pt idx="39">
                  <c:v>0.20010707121796453</c:v>
                </c:pt>
                <c:pt idx="40">
                  <c:v>0.19536865296357567</c:v>
                </c:pt>
                <c:pt idx="41">
                  <c:v>0.19084944976353199</c:v>
                </c:pt>
                <c:pt idx="42">
                  <c:v>0.18653459312015525</c:v>
                </c:pt>
                <c:pt idx="43">
                  <c:v>0.18241052943677882</c:v>
                </c:pt>
                <c:pt idx="44">
                  <c:v>0.17846487780717105</c:v>
                </c:pt>
                <c:pt idx="45">
                  <c:v>0.17468630587079526</c:v>
                </c:pt>
                <c:pt idx="46">
                  <c:v>0.1710644211119115</c:v>
                </c:pt>
                <c:pt idx="47">
                  <c:v>0.16758967540659911</c:v>
                </c:pt>
                <c:pt idx="48">
                  <c:v>0.16425328097151176</c:v>
                </c:pt>
                <c:pt idx="49">
                  <c:v>0.16175516860430911</c:v>
                </c:pt>
                <c:pt idx="50">
                  <c:v>0.15931361618563755</c:v>
                </c:pt>
                <c:pt idx="51">
                  <c:v>0.15692692907561473</c:v>
                </c:pt>
                <c:pt idx="52">
                  <c:v>0.15459347563034911</c:v>
                </c:pt>
                <c:pt idx="53">
                  <c:v>0.15231168441254039</c:v>
                </c:pt>
                <c:pt idx="54">
                  <c:v>0.15008004154512047</c:v>
                </c:pt>
                <c:pt idx="55">
                  <c:v>0.14789708819961364</c:v>
                </c:pt>
                <c:pt idx="56">
                  <c:v>0.14576141821143396</c:v>
                </c:pt>
                <c:pt idx="57">
                  <c:v>0.14367167581484128</c:v>
                </c:pt>
                <c:pt idx="58">
                  <c:v>0.14162655349074227</c:v>
                </c:pt>
                <c:pt idx="59">
                  <c:v>0.13962478992095712</c:v>
                </c:pt>
                <c:pt idx="60">
                  <c:v>0.13766516804297502</c:v>
                </c:pt>
                <c:pt idx="61">
                  <c:v>0.13574651319959646</c:v>
                </c:pt>
                <c:pt idx="62">
                  <c:v>0.13386769137820934</c:v>
                </c:pt>
                <c:pt idx="63">
                  <c:v>0.13202760753477044</c:v>
                </c:pt>
                <c:pt idx="64">
                  <c:v>0.13022520399786772</c:v>
                </c:pt>
                <c:pt idx="65">
                  <c:v>0.12845945894851904</c:v>
                </c:pt>
                <c:pt idx="66">
                  <c:v>0.12672938497162839</c:v>
                </c:pt>
                <c:pt idx="67">
                  <c:v>0.12503402767526453</c:v>
                </c:pt>
                <c:pt idx="68">
                  <c:v>0.12337246437415773</c:v>
                </c:pt>
                <c:pt idx="69">
                  <c:v>0.12337246437415773</c:v>
                </c:pt>
                <c:pt idx="70">
                  <c:v>0.12337246437415773</c:v>
                </c:pt>
                <c:pt idx="71">
                  <c:v>0.12337246437415773</c:v>
                </c:pt>
                <c:pt idx="72">
                  <c:v>0.12337246437415773</c:v>
                </c:pt>
                <c:pt idx="73">
                  <c:v>0.12337246437415773</c:v>
                </c:pt>
                <c:pt idx="74">
                  <c:v>0.12337246437415773</c:v>
                </c:pt>
                <c:pt idx="75">
                  <c:v>0.12337246437415773</c:v>
                </c:pt>
                <c:pt idx="76">
                  <c:v>0.12337246437415773</c:v>
                </c:pt>
                <c:pt idx="77">
                  <c:v>0.12337246437415773</c:v>
                </c:pt>
                <c:pt idx="78">
                  <c:v>0.12337246437415773</c:v>
                </c:pt>
                <c:pt idx="79">
                  <c:v>0.12337246437415773</c:v>
                </c:pt>
                <c:pt idx="80">
                  <c:v>0.12337246437415773</c:v>
                </c:pt>
                <c:pt idx="81">
                  <c:v>0.12337246437415773</c:v>
                </c:pt>
                <c:pt idx="82">
                  <c:v>0.12337246437415773</c:v>
                </c:pt>
                <c:pt idx="83">
                  <c:v>0.12337246437415773</c:v>
                </c:pt>
                <c:pt idx="84">
                  <c:v>0.12337246437415773</c:v>
                </c:pt>
                <c:pt idx="85">
                  <c:v>0.12337246437415773</c:v>
                </c:pt>
                <c:pt idx="86">
                  <c:v>0.12337246437415773</c:v>
                </c:pt>
                <c:pt idx="87">
                  <c:v>0.12337246437415773</c:v>
                </c:pt>
                <c:pt idx="88">
                  <c:v>0.12337246437415773</c:v>
                </c:pt>
                <c:pt idx="89">
                  <c:v>0.12337246437415773</c:v>
                </c:pt>
                <c:pt idx="90">
                  <c:v>0.11440299851430813</c:v>
                </c:pt>
                <c:pt idx="91">
                  <c:v>0.10637727795526865</c:v>
                </c:pt>
                <c:pt idx="92">
                  <c:v>9.9167402992783135E-2</c:v>
                </c:pt>
                <c:pt idx="93">
                  <c:v>9.2666428796589581E-2</c:v>
                </c:pt>
                <c:pt idx="94">
                  <c:v>8.6784376604506358E-2</c:v>
                </c:pt>
                <c:pt idx="95">
                  <c:v>8.144510343450255E-2</c:v>
                </c:pt>
                <c:pt idx="96">
                  <c:v>7.6583825451726928E-2</c:v>
                </c:pt>
                <c:pt idx="97">
                  <c:v>7.2145143526756592E-2</c:v>
                </c:pt>
                <c:pt idx="98">
                  <c:v>6.8081457891371946E-2</c:v>
                </c:pt>
                <c:pt idx="99">
                  <c:v>6.435168666429833E-2</c:v>
                </c:pt>
                <c:pt idx="100">
                  <c:v>6.0920223460139269E-2</c:v>
                </c:pt>
                <c:pt idx="101">
                  <c:v>5.7756084430007397E-2</c:v>
                </c:pt>
                <c:pt idx="102">
                  <c:v>5.4832206388514583E-2</c:v>
                </c:pt>
                <c:pt idx="103">
                  <c:v>5.2124866198081689E-2</c:v>
                </c:pt>
                <c:pt idx="104">
                  <c:v>4.9613198046954618E-2</c:v>
                </c:pt>
                <c:pt idx="105">
                  <c:v>4.7278790202341686E-2</c:v>
                </c:pt>
                <c:pt idx="106">
                  <c:v>4.5105346628951187E-2</c:v>
                </c:pt>
                <c:pt idx="107">
                  <c:v>4.3078401816596459E-2</c:v>
                </c:pt>
                <c:pt idx="108">
                  <c:v>4.1185079465150994E-2</c:v>
                </c:pt>
                <c:pt idx="109">
                  <c:v>3.9413887484371822E-2</c:v>
                </c:pt>
                <c:pt idx="110">
                  <c:v>3.7754543194626879E-2</c:v>
                </c:pt>
                <c:pt idx="111">
                  <c:v>3.6197823748667875E-2</c:v>
                </c:pt>
                <c:pt idx="112">
                  <c:v>3.4735437699679635E-2</c:v>
                </c:pt>
                <c:pt idx="113">
                  <c:v>3.3359914366772325E-2</c:v>
                </c:pt>
                <c:pt idx="114">
                  <c:v>3.2064508234114115E-2</c:v>
                </c:pt>
                <c:pt idx="115">
                  <c:v>3.0843116093539433E-2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0C-4C38-9917-67BEBCC1374B}"/>
            </c:ext>
          </c:extLst>
        </c:ser>
        <c:ser>
          <c:idx val="0"/>
          <c:order val="2"/>
          <c:tx>
            <c:v>Sd,SLV</c:v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'Spettri y'!$BE$15:$BE$130</c:f>
              <c:numCache>
                <c:formatCode>0.000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8.8259349900035824E-2</c:v>
                </c:pt>
                <c:pt idx="3">
                  <c:v>0.17651869980007165</c:v>
                </c:pt>
                <c:pt idx="4">
                  <c:v>0.26477804970010749</c:v>
                </c:pt>
                <c:pt idx="5">
                  <c:v>0.35303739960014335</c:v>
                </c:pt>
                <c:pt idx="6">
                  <c:v>0.44129674950017916</c:v>
                </c:pt>
                <c:pt idx="7">
                  <c:v>0.52955609940021497</c:v>
                </c:pt>
                <c:pt idx="8">
                  <c:v>0.58131719691520956</c:v>
                </c:pt>
                <c:pt idx="9">
                  <c:v>0.63307829443020414</c:v>
                </c:pt>
                <c:pt idx="10">
                  <c:v>0.68483939194519872</c:v>
                </c:pt>
                <c:pt idx="11">
                  <c:v>0.7366004894601933</c:v>
                </c:pt>
                <c:pt idx="12">
                  <c:v>0.78836158697518788</c:v>
                </c:pt>
                <c:pt idx="13">
                  <c:v>0.84012268449018246</c:v>
                </c:pt>
                <c:pt idx="14">
                  <c:v>0.89188378200517704</c:v>
                </c:pt>
                <c:pt idx="15">
                  <c:v>0.94364487952017162</c:v>
                </c:pt>
                <c:pt idx="16">
                  <c:v>0.9954059770351662</c:v>
                </c:pt>
                <c:pt idx="17">
                  <c:v>1.0471670745501609</c:v>
                </c:pt>
                <c:pt idx="18">
                  <c:v>1.0989281720651556</c:v>
                </c:pt>
                <c:pt idx="19">
                  <c:v>1.1506892695801503</c:v>
                </c:pt>
                <c:pt idx="20">
                  <c:v>1.202450367095145</c:v>
                </c:pt>
                <c:pt idx="21">
                  <c:v>1.2542114646101397</c:v>
                </c:pt>
                <c:pt idx="22">
                  <c:v>1.3059725621251344</c:v>
                </c:pt>
                <c:pt idx="23">
                  <c:v>1.357733659640129</c:v>
                </c:pt>
                <c:pt idx="24">
                  <c:v>1.4094947571551237</c:v>
                </c:pt>
                <c:pt idx="25">
                  <c:v>1.4612558546701184</c:v>
                </c:pt>
                <c:pt idx="26">
                  <c:v>1.5130169521851131</c:v>
                </c:pt>
                <c:pt idx="27">
                  <c:v>1.5647780497001076</c:v>
                </c:pt>
                <c:pt idx="28">
                  <c:v>1.5647780497001076</c:v>
                </c:pt>
                <c:pt idx="29">
                  <c:v>1.6165391472151023</c:v>
                </c:pt>
                <c:pt idx="30">
                  <c:v>1.668300244730097</c:v>
                </c:pt>
                <c:pt idx="31">
                  <c:v>1.7200613422450917</c:v>
                </c:pt>
                <c:pt idx="32">
                  <c:v>1.7718224397600864</c:v>
                </c:pt>
                <c:pt idx="33">
                  <c:v>1.823583537275081</c:v>
                </c:pt>
                <c:pt idx="34">
                  <c:v>1.8753446347900757</c:v>
                </c:pt>
                <c:pt idx="35">
                  <c:v>1.9271057323050704</c:v>
                </c:pt>
                <c:pt idx="36">
                  <c:v>1.9788668298200651</c:v>
                </c:pt>
                <c:pt idx="37">
                  <c:v>2.0306279273350598</c:v>
                </c:pt>
                <c:pt idx="38">
                  <c:v>2.0823890248500545</c:v>
                </c:pt>
                <c:pt idx="39">
                  <c:v>2.1341501223650492</c:v>
                </c:pt>
                <c:pt idx="40">
                  <c:v>2.1859112198800439</c:v>
                </c:pt>
                <c:pt idx="41">
                  <c:v>2.2376723173950386</c:v>
                </c:pt>
                <c:pt idx="42">
                  <c:v>2.2894334149100333</c:v>
                </c:pt>
                <c:pt idx="43">
                  <c:v>2.341194512425028</c:v>
                </c:pt>
                <c:pt idx="44">
                  <c:v>2.3929556099400227</c:v>
                </c:pt>
                <c:pt idx="45">
                  <c:v>2.4447167074550173</c:v>
                </c:pt>
                <c:pt idx="46">
                  <c:v>2.496477804970012</c:v>
                </c:pt>
                <c:pt idx="47">
                  <c:v>2.5482389024850067</c:v>
                </c:pt>
                <c:pt idx="48">
                  <c:v>2.6</c:v>
                </c:pt>
                <c:pt idx="49">
                  <c:v>2.62</c:v>
                </c:pt>
                <c:pt idx="50">
                  <c:v>2.64</c:v>
                </c:pt>
                <c:pt idx="51">
                  <c:v>2.66</c:v>
                </c:pt>
                <c:pt idx="52">
                  <c:v>2.68</c:v>
                </c:pt>
                <c:pt idx="53">
                  <c:v>2.7</c:v>
                </c:pt>
                <c:pt idx="54">
                  <c:v>2.72</c:v>
                </c:pt>
                <c:pt idx="55">
                  <c:v>2.74</c:v>
                </c:pt>
                <c:pt idx="56">
                  <c:v>2.7600000000000002</c:v>
                </c:pt>
                <c:pt idx="57">
                  <c:v>2.7800000000000002</c:v>
                </c:pt>
                <c:pt idx="58">
                  <c:v>2.8000000000000003</c:v>
                </c:pt>
                <c:pt idx="59">
                  <c:v>2.8200000000000003</c:v>
                </c:pt>
                <c:pt idx="60">
                  <c:v>2.8400000000000003</c:v>
                </c:pt>
                <c:pt idx="61">
                  <c:v>2.8600000000000003</c:v>
                </c:pt>
                <c:pt idx="62">
                  <c:v>2.8800000000000003</c:v>
                </c:pt>
                <c:pt idx="63">
                  <c:v>2.9000000000000004</c:v>
                </c:pt>
                <c:pt idx="64">
                  <c:v>2.9200000000000004</c:v>
                </c:pt>
                <c:pt idx="65">
                  <c:v>2.9400000000000004</c:v>
                </c:pt>
                <c:pt idx="66">
                  <c:v>2.9600000000000004</c:v>
                </c:pt>
                <c:pt idx="67">
                  <c:v>2.9800000000000004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</c:numCache>
            </c:numRef>
          </c:xVal>
          <c:yVal>
            <c:numRef>
              <c:f>'Spettri y'!$BF$15:$BF$130</c:f>
              <c:numCache>
                <c:formatCode>0.000</c:formatCode>
                <c:ptCount val="116"/>
                <c:pt idx="0">
                  <c:v>0.33462500000000001</c:v>
                </c:pt>
                <c:pt idx="1">
                  <c:v>0.33462500000000001</c:v>
                </c:pt>
                <c:pt idx="2">
                  <c:v>0.25310465425531914</c:v>
                </c:pt>
                <c:pt idx="3">
                  <c:v>0.1715843085106383</c:v>
                </c:pt>
                <c:pt idx="4">
                  <c:v>0.1715843085106383</c:v>
                </c:pt>
                <c:pt idx="5">
                  <c:v>0.1715843085106383</c:v>
                </c:pt>
                <c:pt idx="6">
                  <c:v>0.1715843085106383</c:v>
                </c:pt>
                <c:pt idx="7">
                  <c:v>0.1715843085106383</c:v>
                </c:pt>
                <c:pt idx="8">
                  <c:v>0.15630626036069256</c:v>
                </c:pt>
                <c:pt idx="9">
                  <c:v>0.14352650838386039</c:v>
                </c:pt>
                <c:pt idx="10">
                  <c:v>0.1326785786592832</c:v>
                </c:pt>
                <c:pt idx="11">
                  <c:v>0.12335522231293208</c:v>
                </c:pt>
                <c:pt idx="12">
                  <c:v>0.11525614468584766</c:v>
                </c:pt>
                <c:pt idx="13">
                  <c:v>0.10815505736321841</c:v>
                </c:pt>
                <c:pt idx="14">
                  <c:v>0.10187820315433126</c:v>
                </c:pt>
                <c:pt idx="15">
                  <c:v>9.6289948798725405E-2</c:v>
                </c:pt>
                <c:pt idx="16">
                  <c:v>9.1282872746871857E-2</c:v>
                </c:pt>
                <c:pt idx="17">
                  <c:v>8.6770792685789536E-2</c:v>
                </c:pt>
                <c:pt idx="18">
                  <c:v>8.2683763546094094E-2</c:v>
                </c:pt>
                <c:pt idx="19">
                  <c:v>7.8964425527605644E-2</c:v>
                </c:pt>
                <c:pt idx="20">
                  <c:v>7.5565295349930298E-2</c:v>
                </c:pt>
                <c:pt idx="21">
                  <c:v>7.2446728240855962E-2</c:v>
                </c:pt>
                <c:pt idx="22">
                  <c:v>6.9575364573754697E-2</c:v>
                </c:pt>
                <c:pt idx="23">
                  <c:v>6.6922931819529574E-2</c:v>
                </c:pt>
                <c:pt idx="24">
                  <c:v>6.4465310475203583E-2</c:v>
                </c:pt>
                <c:pt idx="25">
                  <c:v>6.2181798514462996E-2</c:v>
                </c:pt>
                <c:pt idx="26">
                  <c:v>6.0054526819379513E-2</c:v>
                </c:pt>
                <c:pt idx="27">
                  <c:v>5.8067990633298358E-2</c:v>
                </c:pt>
                <c:pt idx="28">
                  <c:v>5.8067990633298358E-2</c:v>
                </c:pt>
                <c:pt idx="29">
                  <c:v>5.6208671030152368E-2</c:v>
                </c:pt>
                <c:pt idx="30">
                  <c:v>5.4464726850098205E-2</c:v>
                </c:pt>
                <c:pt idx="31">
                  <c:v>5.2825742257876743E-2</c:v>
                </c:pt>
                <c:pt idx="32">
                  <c:v>5.12825185493644E-2</c:v>
                </c:pt>
                <c:pt idx="33">
                  <c:v>0.05</c:v>
                </c:pt>
                <c:pt idx="34">
                  <c:v>0.05</c:v>
                </c:pt>
                <c:pt idx="35">
                  <c:v>0.05</c:v>
                </c:pt>
                <c:pt idx="36">
                  <c:v>0.05</c:v>
                </c:pt>
                <c:pt idx="37">
                  <c:v>0.05</c:v>
                </c:pt>
                <c:pt idx="38">
                  <c:v>0.05</c:v>
                </c:pt>
                <c:pt idx="39">
                  <c:v>0.05</c:v>
                </c:pt>
                <c:pt idx="40">
                  <c:v>0.05</c:v>
                </c:pt>
                <c:pt idx="41">
                  <c:v>0.05</c:v>
                </c:pt>
                <c:pt idx="42">
                  <c:v>0.05</c:v>
                </c:pt>
                <c:pt idx="43">
                  <c:v>0.05</c:v>
                </c:pt>
                <c:pt idx="44">
                  <c:v>0.05</c:v>
                </c:pt>
                <c:pt idx="45">
                  <c:v>0.05</c:v>
                </c:pt>
                <c:pt idx="46">
                  <c:v>0.05</c:v>
                </c:pt>
                <c:pt idx="47">
                  <c:v>0.05</c:v>
                </c:pt>
                <c:pt idx="48">
                  <c:v>0.05</c:v>
                </c:pt>
                <c:pt idx="49">
                  <c:v>0.05</c:v>
                </c:pt>
                <c:pt idx="50">
                  <c:v>0.05</c:v>
                </c:pt>
                <c:pt idx="51">
                  <c:v>0.05</c:v>
                </c:pt>
                <c:pt idx="52">
                  <c:v>0.05</c:v>
                </c:pt>
                <c:pt idx="53">
                  <c:v>0.05</c:v>
                </c:pt>
                <c:pt idx="54">
                  <c:v>0.05</c:v>
                </c:pt>
                <c:pt idx="55">
                  <c:v>0.05</c:v>
                </c:pt>
                <c:pt idx="56">
                  <c:v>0.05</c:v>
                </c:pt>
                <c:pt idx="57">
                  <c:v>0.05</c:v>
                </c:pt>
                <c:pt idx="58">
                  <c:v>0.05</c:v>
                </c:pt>
                <c:pt idx="59">
                  <c:v>0.05</c:v>
                </c:pt>
                <c:pt idx="60">
                  <c:v>0.05</c:v>
                </c:pt>
                <c:pt idx="61">
                  <c:v>0.05</c:v>
                </c:pt>
                <c:pt idx="62">
                  <c:v>0.05</c:v>
                </c:pt>
                <c:pt idx="63">
                  <c:v>0.05</c:v>
                </c:pt>
                <c:pt idx="64">
                  <c:v>0.05</c:v>
                </c:pt>
                <c:pt idx="65">
                  <c:v>0.05</c:v>
                </c:pt>
                <c:pt idx="66">
                  <c:v>0.05</c:v>
                </c:pt>
                <c:pt idx="67">
                  <c:v>0.05</c:v>
                </c:pt>
                <c:pt idx="68">
                  <c:v>0.05</c:v>
                </c:pt>
                <c:pt idx="69">
                  <c:v>0.05</c:v>
                </c:pt>
                <c:pt idx="70">
                  <c:v>0.05</c:v>
                </c:pt>
                <c:pt idx="71">
                  <c:v>0.05</c:v>
                </c:pt>
                <c:pt idx="72">
                  <c:v>0.05</c:v>
                </c:pt>
                <c:pt idx="73">
                  <c:v>0.05</c:v>
                </c:pt>
                <c:pt idx="74">
                  <c:v>0.05</c:v>
                </c:pt>
                <c:pt idx="75">
                  <c:v>0.05</c:v>
                </c:pt>
                <c:pt idx="76">
                  <c:v>0.05</c:v>
                </c:pt>
                <c:pt idx="77">
                  <c:v>0.05</c:v>
                </c:pt>
                <c:pt idx="78">
                  <c:v>0.05</c:v>
                </c:pt>
                <c:pt idx="79">
                  <c:v>0.05</c:v>
                </c:pt>
                <c:pt idx="80">
                  <c:v>0.05</c:v>
                </c:pt>
                <c:pt idx="81">
                  <c:v>0.05</c:v>
                </c:pt>
                <c:pt idx="82">
                  <c:v>0.05</c:v>
                </c:pt>
                <c:pt idx="83">
                  <c:v>0.05</c:v>
                </c:pt>
                <c:pt idx="84">
                  <c:v>0.05</c:v>
                </c:pt>
                <c:pt idx="85">
                  <c:v>0.05</c:v>
                </c:pt>
                <c:pt idx="86">
                  <c:v>0.05</c:v>
                </c:pt>
                <c:pt idx="87">
                  <c:v>0.05</c:v>
                </c:pt>
                <c:pt idx="88">
                  <c:v>0.05</c:v>
                </c:pt>
                <c:pt idx="89">
                  <c:v>0.05</c:v>
                </c:pt>
                <c:pt idx="90">
                  <c:v>0.05</c:v>
                </c:pt>
                <c:pt idx="91">
                  <c:v>0.05</c:v>
                </c:pt>
                <c:pt idx="92">
                  <c:v>0.05</c:v>
                </c:pt>
                <c:pt idx="93">
                  <c:v>0.05</c:v>
                </c:pt>
                <c:pt idx="94">
                  <c:v>0.05</c:v>
                </c:pt>
                <c:pt idx="95">
                  <c:v>0.05</c:v>
                </c:pt>
                <c:pt idx="96">
                  <c:v>0.05</c:v>
                </c:pt>
                <c:pt idx="97">
                  <c:v>0.05</c:v>
                </c:pt>
                <c:pt idx="98">
                  <c:v>0.05</c:v>
                </c:pt>
                <c:pt idx="99">
                  <c:v>0.05</c:v>
                </c:pt>
                <c:pt idx="100">
                  <c:v>0.05</c:v>
                </c:pt>
                <c:pt idx="101">
                  <c:v>0.05</c:v>
                </c:pt>
                <c:pt idx="102">
                  <c:v>0.05</c:v>
                </c:pt>
                <c:pt idx="103">
                  <c:v>0.05</c:v>
                </c:pt>
                <c:pt idx="104">
                  <c:v>0.05</c:v>
                </c:pt>
                <c:pt idx="105">
                  <c:v>0.05</c:v>
                </c:pt>
                <c:pt idx="106">
                  <c:v>0.05</c:v>
                </c:pt>
                <c:pt idx="107">
                  <c:v>0.05</c:v>
                </c:pt>
                <c:pt idx="108">
                  <c:v>0.05</c:v>
                </c:pt>
                <c:pt idx="109">
                  <c:v>0.05</c:v>
                </c:pt>
                <c:pt idx="110">
                  <c:v>0.05</c:v>
                </c:pt>
                <c:pt idx="111">
                  <c:v>0.05</c:v>
                </c:pt>
                <c:pt idx="112">
                  <c:v>0.05</c:v>
                </c:pt>
                <c:pt idx="113">
                  <c:v>0.05</c:v>
                </c:pt>
                <c:pt idx="114">
                  <c:v>0.05</c:v>
                </c:pt>
                <c:pt idx="115">
                  <c:v>0.05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0C-4C38-9917-67BEBCC1374B}"/>
            </c:ext>
          </c:extLst>
        </c:ser>
        <c:ser>
          <c:idx val="2"/>
          <c:order val="3"/>
          <c:tx>
            <c:v>Se,SLD</c:v>
          </c:tx>
          <c:spPr>
            <a:ln w="12700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'Spettri y'!$AQ$15:$AQ$130</c:f>
              <c:numCache>
                <c:formatCode>0.000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7.6708688772966063E-2</c:v>
                </c:pt>
                <c:pt idx="3">
                  <c:v>0.15341737754593213</c:v>
                </c:pt>
                <c:pt idx="4">
                  <c:v>0.23012606631889818</c:v>
                </c:pt>
                <c:pt idx="5">
                  <c:v>0.3068347550918642</c:v>
                </c:pt>
                <c:pt idx="6">
                  <c:v>0.38354344386483025</c:v>
                </c:pt>
                <c:pt idx="7">
                  <c:v>0.46025213263779635</c:v>
                </c:pt>
                <c:pt idx="8">
                  <c:v>0.49694582932185144</c:v>
                </c:pt>
                <c:pt idx="9">
                  <c:v>0.53363952600590658</c:v>
                </c:pt>
                <c:pt idx="10">
                  <c:v>0.57033322268996167</c:v>
                </c:pt>
                <c:pt idx="11">
                  <c:v>0.60702691937401676</c:v>
                </c:pt>
                <c:pt idx="12">
                  <c:v>0.64372061605807185</c:v>
                </c:pt>
                <c:pt idx="13">
                  <c:v>0.68041431274212694</c:v>
                </c:pt>
                <c:pt idx="14">
                  <c:v>0.71710800942618202</c:v>
                </c:pt>
                <c:pt idx="15">
                  <c:v>0.75380170611023711</c:v>
                </c:pt>
                <c:pt idx="16">
                  <c:v>0.7904954027942922</c:v>
                </c:pt>
                <c:pt idx="17">
                  <c:v>0.82718909947834729</c:v>
                </c:pt>
                <c:pt idx="18">
                  <c:v>0.86388279616240238</c:v>
                </c:pt>
                <c:pt idx="19">
                  <c:v>0.90057649284645747</c:v>
                </c:pt>
                <c:pt idx="20">
                  <c:v>0.93727018953051255</c:v>
                </c:pt>
                <c:pt idx="21">
                  <c:v>0.97396388621456764</c:v>
                </c:pt>
                <c:pt idx="22">
                  <c:v>1.0106575828986228</c:v>
                </c:pt>
                <c:pt idx="23">
                  <c:v>1.0473512795826778</c:v>
                </c:pt>
                <c:pt idx="24">
                  <c:v>1.0840449762667328</c:v>
                </c:pt>
                <c:pt idx="25">
                  <c:v>1.1207386729507878</c:v>
                </c:pt>
                <c:pt idx="26">
                  <c:v>1.1574323696348428</c:v>
                </c:pt>
                <c:pt idx="27">
                  <c:v>1.1941260663188982</c:v>
                </c:pt>
                <c:pt idx="28">
                  <c:v>1.1941260663188982</c:v>
                </c:pt>
                <c:pt idx="29">
                  <c:v>1.2308197630029534</c:v>
                </c:pt>
                <c:pt idx="30">
                  <c:v>1.2675134596870086</c:v>
                </c:pt>
                <c:pt idx="31">
                  <c:v>1.3042071563710638</c:v>
                </c:pt>
                <c:pt idx="32">
                  <c:v>1.340900853055119</c:v>
                </c:pt>
                <c:pt idx="33">
                  <c:v>1.3775945497391742</c:v>
                </c:pt>
                <c:pt idx="34">
                  <c:v>1.4142882464232294</c:v>
                </c:pt>
                <c:pt idx="35">
                  <c:v>1.4509819431072846</c:v>
                </c:pt>
                <c:pt idx="36">
                  <c:v>1.4876756397913398</c:v>
                </c:pt>
                <c:pt idx="37">
                  <c:v>1.524369336475395</c:v>
                </c:pt>
                <c:pt idx="38">
                  <c:v>1.5610630331594502</c:v>
                </c:pt>
                <c:pt idx="39">
                  <c:v>1.5977567298435054</c:v>
                </c:pt>
                <c:pt idx="40">
                  <c:v>1.6344504265275606</c:v>
                </c:pt>
                <c:pt idx="41">
                  <c:v>1.6711441232116158</c:v>
                </c:pt>
                <c:pt idx="42">
                  <c:v>1.707837819895671</c:v>
                </c:pt>
                <c:pt idx="43">
                  <c:v>1.7445315165797262</c:v>
                </c:pt>
                <c:pt idx="44">
                  <c:v>1.7812252132637814</c:v>
                </c:pt>
                <c:pt idx="45">
                  <c:v>1.8179189099478366</c:v>
                </c:pt>
                <c:pt idx="46">
                  <c:v>1.8546126066318918</c:v>
                </c:pt>
                <c:pt idx="47">
                  <c:v>1.891306303315947</c:v>
                </c:pt>
                <c:pt idx="48">
                  <c:v>1.9280000000000002</c:v>
                </c:pt>
                <c:pt idx="49">
                  <c:v>1.9816000000000003</c:v>
                </c:pt>
                <c:pt idx="50">
                  <c:v>2.0352000000000001</c:v>
                </c:pt>
                <c:pt idx="51">
                  <c:v>2.0888</c:v>
                </c:pt>
                <c:pt idx="52">
                  <c:v>2.1423999999999999</c:v>
                </c:pt>
                <c:pt idx="53">
                  <c:v>2.1959999999999997</c:v>
                </c:pt>
                <c:pt idx="54">
                  <c:v>2.2495999999999996</c:v>
                </c:pt>
                <c:pt idx="55">
                  <c:v>2.3031999999999995</c:v>
                </c:pt>
                <c:pt idx="56">
                  <c:v>2.3567999999999993</c:v>
                </c:pt>
                <c:pt idx="57">
                  <c:v>2.4103999999999992</c:v>
                </c:pt>
                <c:pt idx="58">
                  <c:v>2.4639999999999991</c:v>
                </c:pt>
                <c:pt idx="59">
                  <c:v>2.5175999999999989</c:v>
                </c:pt>
                <c:pt idx="60">
                  <c:v>2.5711999999999988</c:v>
                </c:pt>
                <c:pt idx="61">
                  <c:v>2.6247999999999987</c:v>
                </c:pt>
                <c:pt idx="62">
                  <c:v>2.6783999999999986</c:v>
                </c:pt>
                <c:pt idx="63">
                  <c:v>2.7319999999999984</c:v>
                </c:pt>
                <c:pt idx="64">
                  <c:v>2.7855999999999983</c:v>
                </c:pt>
                <c:pt idx="65">
                  <c:v>2.8391999999999982</c:v>
                </c:pt>
                <c:pt idx="66">
                  <c:v>2.892799999999998</c:v>
                </c:pt>
                <c:pt idx="67">
                  <c:v>2.9463999999999979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</c:numCache>
            </c:numRef>
          </c:xVal>
          <c:yVal>
            <c:numRef>
              <c:f>'Spettri y'!$AS$15:$AS$130</c:f>
              <c:numCache>
                <c:formatCode>0.0000</c:formatCode>
                <c:ptCount val="116"/>
                <c:pt idx="0">
                  <c:v>0.123</c:v>
                </c:pt>
                <c:pt idx="1">
                  <c:v>0.123</c:v>
                </c:pt>
                <c:pt idx="2">
                  <c:v>0.20393399999999998</c:v>
                </c:pt>
                <c:pt idx="3">
                  <c:v>0.28486799999999995</c:v>
                </c:pt>
                <c:pt idx="4">
                  <c:v>0.28486799999999995</c:v>
                </c:pt>
                <c:pt idx="5">
                  <c:v>0.28486799999999995</c:v>
                </c:pt>
                <c:pt idx="6">
                  <c:v>0.28486799999999995</c:v>
                </c:pt>
                <c:pt idx="7">
                  <c:v>0.28486799999999995</c:v>
                </c:pt>
                <c:pt idx="8">
                  <c:v>0.2638337959273796</c:v>
                </c:pt>
                <c:pt idx="9">
                  <c:v>0.24569226627866497</c:v>
                </c:pt>
                <c:pt idx="10">
                  <c:v>0.22988509051231781</c:v>
                </c:pt>
                <c:pt idx="11">
                  <c:v>0.21598894601819177</c:v>
                </c:pt>
                <c:pt idx="12">
                  <c:v>0.2036770320067485</c:v>
                </c:pt>
                <c:pt idx="13">
                  <c:v>0.1926930431428977</c:v>
                </c:pt>
                <c:pt idx="14">
                  <c:v>0.18283313363795323</c:v>
                </c:pt>
                <c:pt idx="15">
                  <c:v>0.17393314907288079</c:v>
                </c:pt>
                <c:pt idx="16">
                  <c:v>0.16585941430753942</c:v>
                </c:pt>
                <c:pt idx="17">
                  <c:v>0.15850197325248452</c:v>
                </c:pt>
                <c:pt idx="18">
                  <c:v>0.15176955149783539</c:v>
                </c:pt>
                <c:pt idx="19">
                  <c:v>0.14558575041844599</c:v>
                </c:pt>
                <c:pt idx="20">
                  <c:v>0.13988613527326474</c:v>
                </c:pt>
                <c:pt idx="21">
                  <c:v>0.13461598153278911</c:v>
                </c:pt>
                <c:pt idx="22">
                  <c:v>0.12972851214773429</c:v>
                </c:pt>
                <c:pt idx="23">
                  <c:v>0.12518350535887598</c:v>
                </c:pt>
                <c:pt idx="24">
                  <c:v>0.12094618525126899</c:v>
                </c:pt>
                <c:pt idx="25">
                  <c:v>0.11698633025222724</c:v>
                </c:pt>
                <c:pt idx="26">
                  <c:v>0.11327755120727086</c:v>
                </c:pt>
                <c:pt idx="27">
                  <c:v>0.10979670255791049</c:v>
                </c:pt>
                <c:pt idx="28">
                  <c:v>0.10979670255791049</c:v>
                </c:pt>
                <c:pt idx="29">
                  <c:v>0.10652339884466833</c:v>
                </c:pt>
                <c:pt idx="30">
                  <c:v>0.10343961519165207</c:v>
                </c:pt>
                <c:pt idx="31">
                  <c:v>0.1005293552330125</c:v>
                </c:pt>
                <c:pt idx="32">
                  <c:v>9.7778373562474208E-2</c:v>
                </c:pt>
                <c:pt idx="33">
                  <c:v>9.5173942539978532E-2</c:v>
                </c:pt>
                <c:pt idx="34">
                  <c:v>9.2704655399524841E-2</c:v>
                </c:pt>
                <c:pt idx="35">
                  <c:v>9.0360259232095411E-2</c:v>
                </c:pt>
                <c:pt idx="36">
                  <c:v>8.813151268555644E-2</c:v>
                </c:pt>
                <c:pt idx="37">
                  <c:v>8.6010064216730617E-2</c:v>
                </c:pt>
                <c:pt idx="38">
                  <c:v>8.3988347514005732E-2</c:v>
                </c:pt>
                <c:pt idx="39">
                  <c:v>8.2059491330138609E-2</c:v>
                </c:pt>
                <c:pt idx="40">
                  <c:v>8.0217241460674507E-2</c:v>
                </c:pt>
                <c:pt idx="41">
                  <c:v>7.8455893001193447E-2</c:v>
                </c:pt>
                <c:pt idx="42">
                  <c:v>7.6770231337465702E-2</c:v>
                </c:pt>
                <c:pt idx="43">
                  <c:v>7.5155480582727488E-2</c:v>
                </c:pt>
                <c:pt idx="44">
                  <c:v>7.360725838818874E-2</c:v>
                </c:pt>
                <c:pt idx="45">
                  <c:v>7.2121536226291777E-2</c:v>
                </c:pt>
                <c:pt idx="46">
                  <c:v>7.0694604388768192E-2</c:v>
                </c:pt>
                <c:pt idx="47">
                  <c:v>6.9323041059183396E-2</c:v>
                </c:pt>
                <c:pt idx="48">
                  <c:v>6.800368491714924E-2</c:v>
                </c:pt>
                <c:pt idx="49">
                  <c:v>6.4374596284573746E-2</c:v>
                </c:pt>
                <c:pt idx="50">
                  <c:v>6.1028446876992382E-2</c:v>
                </c:pt>
                <c:pt idx="51">
                  <c:v>5.7936571032417949E-2</c:v>
                </c:pt>
                <c:pt idx="52">
                  <c:v>5.5073843516710248E-2</c:v>
                </c:pt>
                <c:pt idx="53">
                  <c:v>5.241816747353787E-2</c:v>
                </c:pt>
                <c:pt idx="54">
                  <c:v>4.9950046737222351E-2</c:v>
                </c:pt>
                <c:pt idx="55">
                  <c:v>4.7652226989598742E-2</c:v>
                </c:pt>
                <c:pt idx="56">
                  <c:v>4.5509393381304164E-2</c:v>
                </c:pt>
                <c:pt idx="57">
                  <c:v>4.3507914687124109E-2</c:v>
                </c:pt>
                <c:pt idx="58">
                  <c:v>4.1635625987444642E-2</c:v>
                </c:pt>
                <c:pt idx="59">
                  <c:v>3.9881643385486533E-2</c:v>
                </c:pt>
                <c:pt idx="60">
                  <c:v>3.8236205474657475E-2</c:v>
                </c:pt>
                <c:pt idx="61">
                  <c:v>3.6690537231606778E-2</c:v>
                </c:pt>
                <c:pt idx="62">
                  <c:v>3.5236732781433286E-2</c:v>
                </c:pt>
                <c:pt idx="63">
                  <c:v>3.3867654102651509E-2</c:v>
                </c:pt>
                <c:pt idx="64">
                  <c:v>3.2576843242336236E-2</c:v>
                </c:pt>
                <c:pt idx="65">
                  <c:v>3.135844602067811E-2</c:v>
                </c:pt>
                <c:pt idx="66">
                  <c:v>3.0207145537967862E-2</c:v>
                </c:pt>
                <c:pt idx="67">
                  <c:v>2.9118104070657964E-2</c:v>
                </c:pt>
                <c:pt idx="68">
                  <c:v>2.8086912168340947E-2</c:v>
                </c:pt>
                <c:pt idx="69">
                  <c:v>2.8086912168340947E-2</c:v>
                </c:pt>
                <c:pt idx="70">
                  <c:v>2.8086912168340947E-2</c:v>
                </c:pt>
                <c:pt idx="71">
                  <c:v>2.8086912168340947E-2</c:v>
                </c:pt>
                <c:pt idx="72">
                  <c:v>2.8086912168340947E-2</c:v>
                </c:pt>
                <c:pt idx="73">
                  <c:v>2.8086912168340947E-2</c:v>
                </c:pt>
                <c:pt idx="74">
                  <c:v>2.8086912168340947E-2</c:v>
                </c:pt>
                <c:pt idx="75">
                  <c:v>2.8086912168340947E-2</c:v>
                </c:pt>
                <c:pt idx="76">
                  <c:v>2.8086912168340947E-2</c:v>
                </c:pt>
                <c:pt idx="77">
                  <c:v>2.8086912168340947E-2</c:v>
                </c:pt>
                <c:pt idx="78">
                  <c:v>2.8086912168340947E-2</c:v>
                </c:pt>
                <c:pt idx="79">
                  <c:v>2.8086912168340947E-2</c:v>
                </c:pt>
                <c:pt idx="80">
                  <c:v>2.8086912168340947E-2</c:v>
                </c:pt>
                <c:pt idx="81">
                  <c:v>2.8086912168340947E-2</c:v>
                </c:pt>
                <c:pt idx="82">
                  <c:v>2.8086912168340947E-2</c:v>
                </c:pt>
                <c:pt idx="83">
                  <c:v>2.8086912168340947E-2</c:v>
                </c:pt>
                <c:pt idx="84">
                  <c:v>2.8086912168340947E-2</c:v>
                </c:pt>
                <c:pt idx="85">
                  <c:v>2.8086912168340947E-2</c:v>
                </c:pt>
                <c:pt idx="86">
                  <c:v>2.8086912168340947E-2</c:v>
                </c:pt>
                <c:pt idx="87">
                  <c:v>2.8086912168340947E-2</c:v>
                </c:pt>
                <c:pt idx="88">
                  <c:v>2.8086912168340947E-2</c:v>
                </c:pt>
                <c:pt idx="89">
                  <c:v>2.8086912168340947E-2</c:v>
                </c:pt>
                <c:pt idx="90">
                  <c:v>2.6044928156102168E-2</c:v>
                </c:pt>
                <c:pt idx="91">
                  <c:v>2.4217796716579691E-2</c:v>
                </c:pt>
                <c:pt idx="92">
                  <c:v>2.2576400268488082E-2</c:v>
                </c:pt>
                <c:pt idx="93">
                  <c:v>2.1096391806442755E-2</c:v>
                </c:pt>
                <c:pt idx="94">
                  <c:v>1.9757286811444827E-2</c:v>
                </c:pt>
                <c:pt idx="95">
                  <c:v>1.8541750611131325E-2</c:v>
                </c:pt>
                <c:pt idx="96">
                  <c:v>1.7435034550779136E-2</c:v>
                </c:pt>
                <c:pt idx="97">
                  <c:v>1.6424526492905257E-2</c:v>
                </c:pt>
                <c:pt idx="98">
                  <c:v>1.5499389898611006E-2</c:v>
                </c:pt>
                <c:pt idx="99">
                  <c:v>1.4650272087807472E-2</c:v>
                </c:pt>
                <c:pt idx="100">
                  <c:v>1.3869066928998166E-2</c:v>
                </c:pt>
                <c:pt idx="101">
                  <c:v>1.3148720654985105E-2</c:v>
                </c:pt>
                <c:pt idx="102">
                  <c:v>1.2483072074818207E-2</c:v>
                </c:pt>
                <c:pt idx="103">
                  <c:v>1.1866720391124061E-2</c:v>
                </c:pt>
                <c:pt idx="104">
                  <c:v>1.1294915303865853E-2</c:v>
                </c:pt>
                <c:pt idx="105">
                  <c:v>1.0763465207368766E-2</c:v>
                </c:pt>
                <c:pt idx="106">
                  <c:v>1.026866015456923E-2</c:v>
                </c:pt>
                <c:pt idx="107">
                  <c:v>9.8072069348132795E-3</c:v>
                </c:pt>
                <c:pt idx="108">
                  <c:v>9.3761741361967962E-3</c:v>
                </c:pt>
                <c:pt idx="109">
                  <c:v>8.9729454753301099E-3</c:v>
                </c:pt>
                <c:pt idx="110">
                  <c:v>8.5951800026249497E-3</c:v>
                </c:pt>
                <c:pt idx="111">
                  <c:v>8.2407780493917171E-3</c:v>
                </c:pt>
                <c:pt idx="112">
                  <c:v>7.9078519890872639E-3</c:v>
                </c:pt>
                <c:pt idx="113">
                  <c:v>7.5947010503194089E-3</c:v>
                </c:pt>
                <c:pt idx="114">
                  <c:v>7.299789552402354E-3</c:v>
                </c:pt>
                <c:pt idx="115">
                  <c:v>7.0217280420852369E-3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0C-4C38-9917-67BEBCC1374B}"/>
            </c:ext>
          </c:extLst>
        </c:ser>
        <c:ser>
          <c:idx val="3"/>
          <c:order val="4"/>
          <c:tx>
            <c:v>Sd,SLD</c:v>
          </c:tx>
          <c:spPr>
            <a:ln w="9525">
              <a:solidFill>
                <a:schemeClr val="tx1">
                  <a:lumMod val="50000"/>
                  <a:lumOff val="50000"/>
                </a:schemeClr>
              </a:solidFill>
              <a:prstDash val="lgDash"/>
            </a:ln>
          </c:spPr>
          <c:marker>
            <c:symbol val="none"/>
          </c:marker>
          <c:xVal>
            <c:numRef>
              <c:f>'Spettri y'!$BC$15:$BC$130</c:f>
              <c:numCache>
                <c:formatCode>0.000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7.6708688772966063E-2</c:v>
                </c:pt>
                <c:pt idx="3">
                  <c:v>0.15341737754593213</c:v>
                </c:pt>
                <c:pt idx="4">
                  <c:v>0.23012606631889818</c:v>
                </c:pt>
                <c:pt idx="5">
                  <c:v>0.3068347550918642</c:v>
                </c:pt>
                <c:pt idx="6">
                  <c:v>0.38354344386483025</c:v>
                </c:pt>
                <c:pt idx="7">
                  <c:v>0.46025213263779635</c:v>
                </c:pt>
                <c:pt idx="8">
                  <c:v>0.49694582932185144</c:v>
                </c:pt>
                <c:pt idx="9">
                  <c:v>0.53363952600590658</c:v>
                </c:pt>
                <c:pt idx="10">
                  <c:v>0.57033322268996167</c:v>
                </c:pt>
                <c:pt idx="11">
                  <c:v>0.60702691937401676</c:v>
                </c:pt>
                <c:pt idx="12">
                  <c:v>0.64372061605807185</c:v>
                </c:pt>
                <c:pt idx="13">
                  <c:v>0.68041431274212694</c:v>
                </c:pt>
                <c:pt idx="14">
                  <c:v>0.71710800942618202</c:v>
                </c:pt>
                <c:pt idx="15">
                  <c:v>0.75380170611023711</c:v>
                </c:pt>
                <c:pt idx="16">
                  <c:v>0.7904954027942922</c:v>
                </c:pt>
                <c:pt idx="17">
                  <c:v>0.82718909947834729</c:v>
                </c:pt>
                <c:pt idx="18">
                  <c:v>0.86388279616240238</c:v>
                </c:pt>
                <c:pt idx="19">
                  <c:v>0.90057649284645747</c:v>
                </c:pt>
                <c:pt idx="20">
                  <c:v>0.93727018953051255</c:v>
                </c:pt>
                <c:pt idx="21">
                  <c:v>0.97396388621456764</c:v>
                </c:pt>
                <c:pt idx="22">
                  <c:v>1.0106575828986228</c:v>
                </c:pt>
                <c:pt idx="23">
                  <c:v>1.0473512795826778</c:v>
                </c:pt>
                <c:pt idx="24">
                  <c:v>1.0840449762667328</c:v>
                </c:pt>
                <c:pt idx="25">
                  <c:v>1.1207386729507878</c:v>
                </c:pt>
                <c:pt idx="26">
                  <c:v>1.1574323696348428</c:v>
                </c:pt>
                <c:pt idx="27">
                  <c:v>1.1941260663188982</c:v>
                </c:pt>
                <c:pt idx="28">
                  <c:v>1.1941260663188982</c:v>
                </c:pt>
                <c:pt idx="29">
                  <c:v>1.2308197630029534</c:v>
                </c:pt>
                <c:pt idx="30">
                  <c:v>1.2675134596870086</c:v>
                </c:pt>
                <c:pt idx="31">
                  <c:v>1.3042071563710638</c:v>
                </c:pt>
                <c:pt idx="32">
                  <c:v>1.340900853055119</c:v>
                </c:pt>
                <c:pt idx="33">
                  <c:v>1.3775945497391742</c:v>
                </c:pt>
                <c:pt idx="34">
                  <c:v>1.4142882464232294</c:v>
                </c:pt>
                <c:pt idx="35">
                  <c:v>1.4509819431072846</c:v>
                </c:pt>
                <c:pt idx="36">
                  <c:v>1.4876756397913398</c:v>
                </c:pt>
                <c:pt idx="37">
                  <c:v>1.524369336475395</c:v>
                </c:pt>
                <c:pt idx="38">
                  <c:v>1.5610630331594502</c:v>
                </c:pt>
                <c:pt idx="39">
                  <c:v>1.5977567298435054</c:v>
                </c:pt>
                <c:pt idx="40">
                  <c:v>1.6344504265275606</c:v>
                </c:pt>
                <c:pt idx="41">
                  <c:v>1.6711441232116158</c:v>
                </c:pt>
                <c:pt idx="42">
                  <c:v>1.707837819895671</c:v>
                </c:pt>
                <c:pt idx="43">
                  <c:v>1.7445315165797262</c:v>
                </c:pt>
                <c:pt idx="44">
                  <c:v>1.7812252132637814</c:v>
                </c:pt>
                <c:pt idx="45">
                  <c:v>1.8179189099478366</c:v>
                </c:pt>
                <c:pt idx="46">
                  <c:v>1.8546126066318918</c:v>
                </c:pt>
                <c:pt idx="47">
                  <c:v>1.891306303315947</c:v>
                </c:pt>
                <c:pt idx="48">
                  <c:v>1.9280000000000002</c:v>
                </c:pt>
                <c:pt idx="49">
                  <c:v>1.9816000000000003</c:v>
                </c:pt>
                <c:pt idx="50">
                  <c:v>2.0352000000000001</c:v>
                </c:pt>
                <c:pt idx="51">
                  <c:v>2.0888</c:v>
                </c:pt>
                <c:pt idx="52">
                  <c:v>2.1423999999999999</c:v>
                </c:pt>
                <c:pt idx="53">
                  <c:v>2.1959999999999997</c:v>
                </c:pt>
                <c:pt idx="54">
                  <c:v>2.2495999999999996</c:v>
                </c:pt>
                <c:pt idx="55">
                  <c:v>2.3031999999999995</c:v>
                </c:pt>
                <c:pt idx="56">
                  <c:v>2.3567999999999993</c:v>
                </c:pt>
                <c:pt idx="57">
                  <c:v>2.4103999999999992</c:v>
                </c:pt>
                <c:pt idx="58">
                  <c:v>2.4639999999999991</c:v>
                </c:pt>
                <c:pt idx="59">
                  <c:v>2.5175999999999989</c:v>
                </c:pt>
                <c:pt idx="60">
                  <c:v>2.5711999999999988</c:v>
                </c:pt>
                <c:pt idx="61">
                  <c:v>2.6247999999999987</c:v>
                </c:pt>
                <c:pt idx="62">
                  <c:v>2.6783999999999986</c:v>
                </c:pt>
                <c:pt idx="63">
                  <c:v>2.7319999999999984</c:v>
                </c:pt>
                <c:pt idx="64">
                  <c:v>2.7855999999999983</c:v>
                </c:pt>
                <c:pt idx="65">
                  <c:v>2.8391999999999982</c:v>
                </c:pt>
                <c:pt idx="66">
                  <c:v>2.892799999999998</c:v>
                </c:pt>
                <c:pt idx="67">
                  <c:v>2.9463999999999979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</c:numCache>
            </c:numRef>
          </c:xVal>
          <c:yVal>
            <c:numRef>
              <c:f>'Spettri y'!$BD$15:$BD$130</c:f>
              <c:numCache>
                <c:formatCode>0.000</c:formatCode>
                <c:ptCount val="116"/>
                <c:pt idx="0">
                  <c:v>0.123</c:v>
                </c:pt>
                <c:pt idx="1">
                  <c:v>0.123</c:v>
                </c:pt>
                <c:pt idx="2">
                  <c:v>0.15645599999999998</c:v>
                </c:pt>
                <c:pt idx="3">
                  <c:v>0.18991199999999997</c:v>
                </c:pt>
                <c:pt idx="4">
                  <c:v>0.18991199999999997</c:v>
                </c:pt>
                <c:pt idx="5">
                  <c:v>0.18991199999999997</c:v>
                </c:pt>
                <c:pt idx="6">
                  <c:v>0.18991199999999997</c:v>
                </c:pt>
                <c:pt idx="7">
                  <c:v>0.18991199999999997</c:v>
                </c:pt>
                <c:pt idx="8">
                  <c:v>0.17588919728491972</c:v>
                </c:pt>
                <c:pt idx="9">
                  <c:v>0.16379484418577664</c:v>
                </c:pt>
                <c:pt idx="10">
                  <c:v>0.15325672700821188</c:v>
                </c:pt>
                <c:pt idx="11">
                  <c:v>0.1439926306787945</c:v>
                </c:pt>
                <c:pt idx="12">
                  <c:v>0.135784688004499</c:v>
                </c:pt>
                <c:pt idx="13">
                  <c:v>0.1284620287619318</c:v>
                </c:pt>
                <c:pt idx="14">
                  <c:v>0.12188875575863549</c:v>
                </c:pt>
                <c:pt idx="15">
                  <c:v>0.11595543271525387</c:v>
                </c:pt>
                <c:pt idx="16">
                  <c:v>0.11057294287169295</c:v>
                </c:pt>
                <c:pt idx="17">
                  <c:v>0.10566798216832302</c:v>
                </c:pt>
                <c:pt idx="18">
                  <c:v>0.10117970099855693</c:v>
                </c:pt>
                <c:pt idx="19">
                  <c:v>9.7057166945630657E-2</c:v>
                </c:pt>
                <c:pt idx="20">
                  <c:v>9.3257423515509821E-2</c:v>
                </c:pt>
                <c:pt idx="21">
                  <c:v>8.9743987688526081E-2</c:v>
                </c:pt>
                <c:pt idx="22">
                  <c:v>8.6485674765156187E-2</c:v>
                </c:pt>
                <c:pt idx="23">
                  <c:v>8.3455670239250657E-2</c:v>
                </c:pt>
                <c:pt idx="24">
                  <c:v>8.0630790167512664E-2</c:v>
                </c:pt>
                <c:pt idx="25">
                  <c:v>7.7990886834818154E-2</c:v>
                </c:pt>
                <c:pt idx="26">
                  <c:v>7.55183674715139E-2</c:v>
                </c:pt>
                <c:pt idx="27">
                  <c:v>7.3197801705273666E-2</c:v>
                </c:pt>
                <c:pt idx="28">
                  <c:v>7.3197801705273666E-2</c:v>
                </c:pt>
                <c:pt idx="29">
                  <c:v>7.1015599229778889E-2</c:v>
                </c:pt>
                <c:pt idx="30">
                  <c:v>6.8959743461101383E-2</c:v>
                </c:pt>
                <c:pt idx="31">
                  <c:v>6.7019570155341671E-2</c:v>
                </c:pt>
                <c:pt idx="32">
                  <c:v>6.5185582374982801E-2</c:v>
                </c:pt>
                <c:pt idx="33">
                  <c:v>6.344929502665235E-2</c:v>
                </c:pt>
                <c:pt idx="34">
                  <c:v>6.1803103599683225E-2</c:v>
                </c:pt>
                <c:pt idx="35">
                  <c:v>6.0240172821396938E-2</c:v>
                </c:pt>
                <c:pt idx="36">
                  <c:v>5.8754341790370958E-2</c:v>
                </c:pt>
                <c:pt idx="37">
                  <c:v>5.7340042811153742E-2</c:v>
                </c:pt>
                <c:pt idx="38">
                  <c:v>5.5992231676003819E-2</c:v>
                </c:pt>
                <c:pt idx="39">
                  <c:v>5.4706327553425742E-2</c:v>
                </c:pt>
                <c:pt idx="40">
                  <c:v>5.3478160973783002E-2</c:v>
                </c:pt>
                <c:pt idx="41">
                  <c:v>5.23039286674623E-2</c:v>
                </c:pt>
                <c:pt idx="42">
                  <c:v>5.1180154224977133E-2</c:v>
                </c:pt>
                <c:pt idx="43">
                  <c:v>5.0103653721818325E-2</c:v>
                </c:pt>
                <c:pt idx="44">
                  <c:v>4.9071505592125829E-2</c:v>
                </c:pt>
                <c:pt idx="45">
                  <c:v>4.8081024150861185E-2</c:v>
                </c:pt>
                <c:pt idx="46">
                  <c:v>4.7129736259178795E-2</c:v>
                </c:pt>
                <c:pt idx="47">
                  <c:v>4.6215360706122262E-2</c:v>
                </c:pt>
                <c:pt idx="48">
                  <c:v>4.5335789944766162E-2</c:v>
                </c:pt>
                <c:pt idx="49">
                  <c:v>4.2916397523049161E-2</c:v>
                </c:pt>
                <c:pt idx="50">
                  <c:v>4.0685631251328257E-2</c:v>
                </c:pt>
                <c:pt idx="51">
                  <c:v>3.8624380688278635E-2</c:v>
                </c:pt>
                <c:pt idx="52">
                  <c:v>3.671589567780683E-2</c:v>
                </c:pt>
                <c:pt idx="53">
                  <c:v>3.4945444982358582E-2</c:v>
                </c:pt>
                <c:pt idx="54">
                  <c:v>3.3300031158148231E-2</c:v>
                </c:pt>
                <c:pt idx="55">
                  <c:v>3.1768151326399159E-2</c:v>
                </c:pt>
                <c:pt idx="56">
                  <c:v>3.033959558753611E-2</c:v>
                </c:pt>
                <c:pt idx="57">
                  <c:v>2.9005276458082738E-2</c:v>
                </c:pt>
                <c:pt idx="58">
                  <c:v>2.7757083991629763E-2</c:v>
                </c:pt>
                <c:pt idx="59">
                  <c:v>2.6587762256991023E-2</c:v>
                </c:pt>
                <c:pt idx="60">
                  <c:v>2.5490803649771649E-2</c:v>
                </c:pt>
                <c:pt idx="61">
                  <c:v>2.4460358154404518E-2</c:v>
                </c:pt>
                <c:pt idx="62">
                  <c:v>2.3491155187622192E-2</c:v>
                </c:pt>
                <c:pt idx="63">
                  <c:v>2.2578436068434338E-2</c:v>
                </c:pt>
                <c:pt idx="64">
                  <c:v>2.1717895494890824E-2</c:v>
                </c:pt>
                <c:pt idx="65">
                  <c:v>2.0905630680452075E-2</c:v>
                </c:pt>
                <c:pt idx="66">
                  <c:v>2.0138097025311909E-2</c:v>
                </c:pt>
                <c:pt idx="67">
                  <c:v>1.9412069380438643E-2</c:v>
                </c:pt>
                <c:pt idx="68">
                  <c:v>1.8724608112227297E-2</c:v>
                </c:pt>
                <c:pt idx="69">
                  <c:v>1.8724608112227297E-2</c:v>
                </c:pt>
                <c:pt idx="70">
                  <c:v>1.8724608112227297E-2</c:v>
                </c:pt>
                <c:pt idx="71">
                  <c:v>1.8724608112227297E-2</c:v>
                </c:pt>
                <c:pt idx="72">
                  <c:v>1.8724608112227297E-2</c:v>
                </c:pt>
                <c:pt idx="73">
                  <c:v>1.8724608112227297E-2</c:v>
                </c:pt>
                <c:pt idx="74">
                  <c:v>1.8724608112227297E-2</c:v>
                </c:pt>
                <c:pt idx="75">
                  <c:v>1.8724608112227297E-2</c:v>
                </c:pt>
                <c:pt idx="76">
                  <c:v>1.8724608112227297E-2</c:v>
                </c:pt>
                <c:pt idx="77">
                  <c:v>1.8724608112227297E-2</c:v>
                </c:pt>
                <c:pt idx="78">
                  <c:v>1.8724608112227297E-2</c:v>
                </c:pt>
                <c:pt idx="79">
                  <c:v>1.8724608112227297E-2</c:v>
                </c:pt>
                <c:pt idx="80">
                  <c:v>1.8724608112227297E-2</c:v>
                </c:pt>
                <c:pt idx="81">
                  <c:v>1.8724608112227297E-2</c:v>
                </c:pt>
                <c:pt idx="82">
                  <c:v>1.8724608112227297E-2</c:v>
                </c:pt>
                <c:pt idx="83">
                  <c:v>1.8724608112227297E-2</c:v>
                </c:pt>
                <c:pt idx="84">
                  <c:v>1.8724608112227297E-2</c:v>
                </c:pt>
                <c:pt idx="85">
                  <c:v>1.8724608112227297E-2</c:v>
                </c:pt>
                <c:pt idx="86">
                  <c:v>1.8724608112227297E-2</c:v>
                </c:pt>
                <c:pt idx="87">
                  <c:v>1.8724608112227297E-2</c:v>
                </c:pt>
                <c:pt idx="88">
                  <c:v>1.8724608112227297E-2</c:v>
                </c:pt>
                <c:pt idx="89">
                  <c:v>1.8724608112227297E-2</c:v>
                </c:pt>
                <c:pt idx="90">
                  <c:v>1.7363285437401444E-2</c:v>
                </c:pt>
                <c:pt idx="91">
                  <c:v>1.6145197811053127E-2</c:v>
                </c:pt>
                <c:pt idx="92">
                  <c:v>1.5050933512325388E-2</c:v>
                </c:pt>
                <c:pt idx="93">
                  <c:v>1.4064261204295171E-2</c:v>
                </c:pt>
                <c:pt idx="94">
                  <c:v>1.3171524540963217E-2</c:v>
                </c:pt>
                <c:pt idx="95">
                  <c:v>1.236116707408755E-2</c:v>
                </c:pt>
                <c:pt idx="96">
                  <c:v>1.162335636718609E-2</c:v>
                </c:pt>
                <c:pt idx="97">
                  <c:v>1.0949684328603505E-2</c:v>
                </c:pt>
                <c:pt idx="98">
                  <c:v>1.0332926599074003E-2</c:v>
                </c:pt>
                <c:pt idx="99">
                  <c:v>9.7668480585383147E-3</c:v>
                </c:pt>
                <c:pt idx="100">
                  <c:v>9.24604461933211E-3</c:v>
                </c:pt>
                <c:pt idx="101">
                  <c:v>8.7658137699900707E-3</c:v>
                </c:pt>
                <c:pt idx="102">
                  <c:v>8.3220480498788045E-3</c:v>
                </c:pt>
                <c:pt idx="103">
                  <c:v>7.9111469274160406E-3</c:v>
                </c:pt>
                <c:pt idx="104">
                  <c:v>7.5299435359105693E-3</c:v>
                </c:pt>
                <c:pt idx="105">
                  <c:v>7.1756434715791774E-3</c:v>
                </c:pt>
                <c:pt idx="106">
                  <c:v>6.8457734363794867E-3</c:v>
                </c:pt>
                <c:pt idx="107">
                  <c:v>6.538137956542186E-3</c:v>
                </c:pt>
                <c:pt idx="108">
                  <c:v>6.2507827574645311E-3</c:v>
                </c:pt>
                <c:pt idx="109">
                  <c:v>5.981963650220073E-3</c:v>
                </c:pt>
                <c:pt idx="110">
                  <c:v>5.7301200017499665E-3</c:v>
                </c:pt>
                <c:pt idx="111">
                  <c:v>5.4938520329278111E-3</c:v>
                </c:pt>
                <c:pt idx="112">
                  <c:v>5.271901326058176E-3</c:v>
                </c:pt>
                <c:pt idx="113">
                  <c:v>5.0631340335462729E-3</c:v>
                </c:pt>
                <c:pt idx="114">
                  <c:v>4.8665263682682357E-3</c:v>
                </c:pt>
                <c:pt idx="115" formatCode="0.0000">
                  <c:v>4.6811520280568243E-3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0C-4C38-9917-67BEBCC13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313216"/>
        <c:axId val="153818240"/>
      </c:scatterChart>
      <c:valAx>
        <c:axId val="152313216"/>
        <c:scaling>
          <c:orientation val="minMax"/>
          <c:max val="3"/>
          <c:min val="0"/>
        </c:scaling>
        <c:delete val="0"/>
        <c:axPos val="b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53818240"/>
        <c:crosses val="autoZero"/>
        <c:crossBetween val="midCat"/>
      </c:valAx>
      <c:valAx>
        <c:axId val="153818240"/>
        <c:scaling>
          <c:orientation val="minMax"/>
          <c:max val="1.2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5231321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3299245627225906"/>
          <c:y val="0.16373193350831147"/>
          <c:w val="0.19038639983289682"/>
          <c:h val="0.37029396325459318"/>
        </c:manualLayout>
      </c:layout>
      <c:overlay val="1"/>
      <c:spPr>
        <a:solidFill>
          <a:schemeClr val="bg1"/>
        </a:solidFill>
      </c:spPr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'Spettri y'!$AA$11</c:f>
          <c:strCache>
            <c:ptCount val="1"/>
            <c:pt idx="0">
              <c:v>Piazza Cairoli, Messina - spettri elastici, spo [mm]</c:v>
            </c:pt>
          </c:strCache>
        </c:strRef>
      </c:tx>
      <c:layout>
        <c:manualLayout>
          <c:xMode val="edge"/>
          <c:yMode val="edge"/>
          <c:x val="0.12171119235095613"/>
          <c:y val="1.7777777777777781E-2"/>
        </c:manualLayout>
      </c:layout>
      <c:overlay val="0"/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5"/>
          <c:order val="0"/>
          <c:tx>
            <c:v/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'Spettri y'!$AA$15:$AA$18</c:f>
              <c:numCache>
                <c:formatCode>General</c:formatCode>
                <c:ptCount val="4"/>
                <c:pt idx="0">
                  <c:v>0.61099999999999999</c:v>
                </c:pt>
                <c:pt idx="1">
                  <c:v>0.61099999999999999</c:v>
                </c:pt>
                <c:pt idx="2">
                  <c:v>0.61099999999999999</c:v>
                </c:pt>
                <c:pt idx="3">
                  <c:v>0.61099999999999999</c:v>
                </c:pt>
              </c:numCache>
            </c:numRef>
          </c:xVal>
          <c:yVal>
            <c:numRef>
              <c:f>'Spettri y'!$AC$15:$AC$18</c:f>
              <c:numCache>
                <c:formatCode>0.0</c:formatCode>
                <c:ptCount val="4"/>
                <c:pt idx="0">
                  <c:v>14.671305416491508</c:v>
                </c:pt>
                <c:pt idx="1">
                  <c:v>19.906273052046391</c:v>
                </c:pt>
                <c:pt idx="2">
                  <c:v>64.839235005765488</c:v>
                </c:pt>
                <c:pt idx="3">
                  <c:v>83.543782981664961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48-420E-BDFA-375E573F9FFA}"/>
            </c:ext>
          </c:extLst>
        </c:ser>
        <c:ser>
          <c:idx val="0"/>
          <c:order val="1"/>
          <c:tx>
            <c:v>SLC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'Spettri y'!$AY$15:$AY$130</c:f>
              <c:numCache>
                <c:formatCode>0.000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9.199860185971169E-2</c:v>
                </c:pt>
                <c:pt idx="3">
                  <c:v>0.18399720371942338</c:v>
                </c:pt>
                <c:pt idx="4">
                  <c:v>0.27599580557913506</c:v>
                </c:pt>
                <c:pt idx="5">
                  <c:v>0.3679944074388467</c:v>
                </c:pt>
                <c:pt idx="6">
                  <c:v>0.45999300929855835</c:v>
                </c:pt>
                <c:pt idx="7">
                  <c:v>0.55199161115827011</c:v>
                </c:pt>
                <c:pt idx="8">
                  <c:v>0.61209182087931335</c:v>
                </c:pt>
                <c:pt idx="9">
                  <c:v>0.67219203060035659</c:v>
                </c:pt>
                <c:pt idx="10">
                  <c:v>0.73229224032139983</c:v>
                </c:pt>
                <c:pt idx="11">
                  <c:v>0.79239245004244308</c:v>
                </c:pt>
                <c:pt idx="12">
                  <c:v>0.85249265976348632</c:v>
                </c:pt>
                <c:pt idx="13">
                  <c:v>0.91259286948452956</c:v>
                </c:pt>
                <c:pt idx="14">
                  <c:v>0.9726930792055728</c:v>
                </c:pt>
                <c:pt idx="15">
                  <c:v>1.032793288926616</c:v>
                </c:pt>
                <c:pt idx="16">
                  <c:v>1.0928934986476593</c:v>
                </c:pt>
                <c:pt idx="17">
                  <c:v>1.1529937083687025</c:v>
                </c:pt>
                <c:pt idx="18">
                  <c:v>1.2130939180897458</c:v>
                </c:pt>
                <c:pt idx="19">
                  <c:v>1.273194127810789</c:v>
                </c:pt>
                <c:pt idx="20">
                  <c:v>1.3332943375318322</c:v>
                </c:pt>
                <c:pt idx="21">
                  <c:v>1.3933945472528755</c:v>
                </c:pt>
                <c:pt idx="22">
                  <c:v>1.4534947569739187</c:v>
                </c:pt>
                <c:pt idx="23">
                  <c:v>1.513594966694962</c:v>
                </c:pt>
                <c:pt idx="24">
                  <c:v>1.5736951764160052</c:v>
                </c:pt>
                <c:pt idx="25">
                  <c:v>1.6337953861370484</c:v>
                </c:pt>
                <c:pt idx="26">
                  <c:v>1.6938955958580917</c:v>
                </c:pt>
                <c:pt idx="27">
                  <c:v>1.7539958055791351</c:v>
                </c:pt>
                <c:pt idx="28">
                  <c:v>1.7539958055791351</c:v>
                </c:pt>
                <c:pt idx="29">
                  <c:v>1.8140960153001784</c:v>
                </c:pt>
                <c:pt idx="30">
                  <c:v>1.8741962250212216</c:v>
                </c:pt>
                <c:pt idx="31">
                  <c:v>1.9342964347422649</c:v>
                </c:pt>
                <c:pt idx="32">
                  <c:v>1.9943966444633081</c:v>
                </c:pt>
                <c:pt idx="33">
                  <c:v>2.0544968541843516</c:v>
                </c:pt>
                <c:pt idx="34">
                  <c:v>2.114597063905395</c:v>
                </c:pt>
                <c:pt idx="35">
                  <c:v>2.1746972736264385</c:v>
                </c:pt>
                <c:pt idx="36">
                  <c:v>2.234797483347482</c:v>
                </c:pt>
                <c:pt idx="37">
                  <c:v>2.2948976930685254</c:v>
                </c:pt>
                <c:pt idx="38">
                  <c:v>2.3549979027895689</c:v>
                </c:pt>
                <c:pt idx="39">
                  <c:v>2.4150981125106123</c:v>
                </c:pt>
                <c:pt idx="40">
                  <c:v>2.4751983222316558</c:v>
                </c:pt>
                <c:pt idx="41">
                  <c:v>2.5352985319526993</c:v>
                </c:pt>
                <c:pt idx="42">
                  <c:v>2.5953987416737427</c:v>
                </c:pt>
                <c:pt idx="43">
                  <c:v>2.6554989513947862</c:v>
                </c:pt>
                <c:pt idx="44">
                  <c:v>2.7155991611158297</c:v>
                </c:pt>
                <c:pt idx="45">
                  <c:v>2.7756993708368731</c:v>
                </c:pt>
                <c:pt idx="46">
                  <c:v>2.8357995805579166</c:v>
                </c:pt>
                <c:pt idx="47">
                  <c:v>2.8958997902789601</c:v>
                </c:pt>
                <c:pt idx="48">
                  <c:v>2.9560000000000004</c:v>
                </c:pt>
                <c:pt idx="49">
                  <c:v>2.9582000000000006</c:v>
                </c:pt>
                <c:pt idx="50">
                  <c:v>2.9604000000000008</c:v>
                </c:pt>
                <c:pt idx="51">
                  <c:v>2.962600000000001</c:v>
                </c:pt>
                <c:pt idx="52">
                  <c:v>2.9648000000000012</c:v>
                </c:pt>
                <c:pt idx="53">
                  <c:v>2.9670000000000014</c:v>
                </c:pt>
                <c:pt idx="54">
                  <c:v>2.9692000000000016</c:v>
                </c:pt>
                <c:pt idx="55">
                  <c:v>2.9714000000000018</c:v>
                </c:pt>
                <c:pt idx="56">
                  <c:v>2.973600000000002</c:v>
                </c:pt>
                <c:pt idx="57">
                  <c:v>2.9758000000000022</c:v>
                </c:pt>
                <c:pt idx="58">
                  <c:v>2.9780000000000024</c:v>
                </c:pt>
                <c:pt idx="59">
                  <c:v>2.9802000000000026</c:v>
                </c:pt>
                <c:pt idx="60">
                  <c:v>2.9824000000000028</c:v>
                </c:pt>
                <c:pt idx="61">
                  <c:v>2.984600000000003</c:v>
                </c:pt>
                <c:pt idx="62">
                  <c:v>2.9868000000000032</c:v>
                </c:pt>
                <c:pt idx="63">
                  <c:v>2.9890000000000034</c:v>
                </c:pt>
                <c:pt idx="64">
                  <c:v>2.9912000000000036</c:v>
                </c:pt>
                <c:pt idx="65">
                  <c:v>2.9934000000000038</c:v>
                </c:pt>
                <c:pt idx="66">
                  <c:v>2.995600000000004</c:v>
                </c:pt>
                <c:pt idx="67">
                  <c:v>2.9978000000000042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</c:numCache>
            </c:numRef>
          </c:xVal>
          <c:yVal>
            <c:numRef>
              <c:f>'Spettri y'!$BB$15:$BB$130</c:f>
              <c:numCache>
                <c:formatCode>0.00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1.4770094385138677</c:v>
                </c:pt>
                <c:pt idx="3">
                  <c:v>8.3861551864531947</c:v>
                </c:pt>
                <c:pt idx="4">
                  <c:v>18.868849169519684</c:v>
                </c:pt>
                <c:pt idx="5">
                  <c:v>33.544620745812757</c:v>
                </c:pt>
                <c:pt idx="6">
                  <c:v>52.413469915332435</c:v>
                </c:pt>
                <c:pt idx="7">
                  <c:v>75.475396678078738</c:v>
                </c:pt>
                <c:pt idx="8">
                  <c:v>83.693070782968064</c:v>
                </c:pt>
                <c:pt idx="9">
                  <c:v>91.910744887857405</c:v>
                </c:pt>
                <c:pt idx="10">
                  <c:v>100.12841899274673</c:v>
                </c:pt>
                <c:pt idx="11">
                  <c:v>108.34609309763609</c:v>
                </c:pt>
                <c:pt idx="12">
                  <c:v>116.56376720252544</c:v>
                </c:pt>
                <c:pt idx="13">
                  <c:v>124.78144130741475</c:v>
                </c:pt>
                <c:pt idx="14">
                  <c:v>132.99911541230409</c:v>
                </c:pt>
                <c:pt idx="15">
                  <c:v>141.21678951719343</c:v>
                </c:pt>
                <c:pt idx="16">
                  <c:v>149.43446362208277</c:v>
                </c:pt>
                <c:pt idx="17">
                  <c:v>157.65213772697211</c:v>
                </c:pt>
                <c:pt idx="18">
                  <c:v>165.86981183186148</c:v>
                </c:pt>
                <c:pt idx="19">
                  <c:v>174.0874859367508</c:v>
                </c:pt>
                <c:pt idx="20">
                  <c:v>182.30516004164011</c:v>
                </c:pt>
                <c:pt idx="21">
                  <c:v>190.52283414652945</c:v>
                </c:pt>
                <c:pt idx="22">
                  <c:v>198.74050825141885</c:v>
                </c:pt>
                <c:pt idx="23">
                  <c:v>206.95818235630816</c:v>
                </c:pt>
                <c:pt idx="24">
                  <c:v>215.17585646119753</c:v>
                </c:pt>
                <c:pt idx="25">
                  <c:v>223.39353056608684</c:v>
                </c:pt>
                <c:pt idx="26">
                  <c:v>231.61120467097621</c:v>
                </c:pt>
                <c:pt idx="27">
                  <c:v>239.82887877586555</c:v>
                </c:pt>
                <c:pt idx="28">
                  <c:v>239.82887877586555</c:v>
                </c:pt>
                <c:pt idx="29">
                  <c:v>248.04655288075486</c:v>
                </c:pt>
                <c:pt idx="30">
                  <c:v>256.2642269856442</c:v>
                </c:pt>
                <c:pt idx="31">
                  <c:v>264.4819010905336</c:v>
                </c:pt>
                <c:pt idx="32">
                  <c:v>272.69957519542288</c:v>
                </c:pt>
                <c:pt idx="33">
                  <c:v>280.91724930031228</c:v>
                </c:pt>
                <c:pt idx="34">
                  <c:v>289.13492340520162</c:v>
                </c:pt>
                <c:pt idx="35">
                  <c:v>297.35259751009102</c:v>
                </c:pt>
                <c:pt idx="36">
                  <c:v>305.57027161498036</c:v>
                </c:pt>
                <c:pt idx="37">
                  <c:v>313.7879457198697</c:v>
                </c:pt>
                <c:pt idx="38">
                  <c:v>322.00561982475909</c:v>
                </c:pt>
                <c:pt idx="39">
                  <c:v>330.22329392964843</c:v>
                </c:pt>
                <c:pt idx="40">
                  <c:v>338.44096803453783</c:v>
                </c:pt>
                <c:pt idx="41">
                  <c:v>346.65864213942717</c:v>
                </c:pt>
                <c:pt idx="42">
                  <c:v>354.87631624431663</c:v>
                </c:pt>
                <c:pt idx="43">
                  <c:v>363.09399034920591</c:v>
                </c:pt>
                <c:pt idx="44">
                  <c:v>371.31166445409531</c:v>
                </c:pt>
                <c:pt idx="45">
                  <c:v>379.5293385589847</c:v>
                </c:pt>
                <c:pt idx="46">
                  <c:v>387.74701266387405</c:v>
                </c:pt>
                <c:pt idx="47">
                  <c:v>395.9646867687635</c:v>
                </c:pt>
                <c:pt idx="48">
                  <c:v>404.18236087365239</c:v>
                </c:pt>
                <c:pt idx="49">
                  <c:v>404.18236087365239</c:v>
                </c:pt>
                <c:pt idx="50">
                  <c:v>404.18236087365239</c:v>
                </c:pt>
                <c:pt idx="51">
                  <c:v>404.18236087365239</c:v>
                </c:pt>
                <c:pt idx="52">
                  <c:v>404.18236087365244</c:v>
                </c:pt>
                <c:pt idx="53">
                  <c:v>404.18236087365239</c:v>
                </c:pt>
                <c:pt idx="54">
                  <c:v>404.18236087365239</c:v>
                </c:pt>
                <c:pt idx="55">
                  <c:v>404.18236087365239</c:v>
                </c:pt>
                <c:pt idx="56">
                  <c:v>404.18236087365239</c:v>
                </c:pt>
                <c:pt idx="57">
                  <c:v>404.18236087365239</c:v>
                </c:pt>
                <c:pt idx="58">
                  <c:v>404.18236087365233</c:v>
                </c:pt>
                <c:pt idx="59">
                  <c:v>404.18236087365244</c:v>
                </c:pt>
                <c:pt idx="60">
                  <c:v>404.18236087365239</c:v>
                </c:pt>
                <c:pt idx="61">
                  <c:v>404.18236087365244</c:v>
                </c:pt>
                <c:pt idx="62">
                  <c:v>404.18236087365239</c:v>
                </c:pt>
                <c:pt idx="63">
                  <c:v>404.18236087365239</c:v>
                </c:pt>
                <c:pt idx="64">
                  <c:v>404.18236087365239</c:v>
                </c:pt>
                <c:pt idx="65">
                  <c:v>404.18236087365239</c:v>
                </c:pt>
                <c:pt idx="66">
                  <c:v>404.18236087365244</c:v>
                </c:pt>
                <c:pt idx="67">
                  <c:v>404.18236087365239</c:v>
                </c:pt>
                <c:pt idx="68">
                  <c:v>404.18236087365239</c:v>
                </c:pt>
                <c:pt idx="69">
                  <c:v>404.18236087365239</c:v>
                </c:pt>
                <c:pt idx="70">
                  <c:v>404.18236087365239</c:v>
                </c:pt>
                <c:pt idx="71">
                  <c:v>404.18236087365239</c:v>
                </c:pt>
                <c:pt idx="72">
                  <c:v>404.18236087365239</c:v>
                </c:pt>
                <c:pt idx="73">
                  <c:v>404.18236087365239</c:v>
                </c:pt>
                <c:pt idx="74">
                  <c:v>404.18236087365239</c:v>
                </c:pt>
                <c:pt idx="75">
                  <c:v>404.18236087365239</c:v>
                </c:pt>
                <c:pt idx="76">
                  <c:v>404.18236087365239</c:v>
                </c:pt>
                <c:pt idx="77">
                  <c:v>404.18236087365239</c:v>
                </c:pt>
                <c:pt idx="78">
                  <c:v>404.18236087365239</c:v>
                </c:pt>
                <c:pt idx="79">
                  <c:v>404.18236087365239</c:v>
                </c:pt>
                <c:pt idx="80">
                  <c:v>404.18236087365239</c:v>
                </c:pt>
                <c:pt idx="81">
                  <c:v>404.18236087365239</c:v>
                </c:pt>
                <c:pt idx="82">
                  <c:v>404.18236087365239</c:v>
                </c:pt>
                <c:pt idx="83">
                  <c:v>404.18236087365239</c:v>
                </c:pt>
                <c:pt idx="84">
                  <c:v>404.18236087365239</c:v>
                </c:pt>
                <c:pt idx="85">
                  <c:v>404.18236087365239</c:v>
                </c:pt>
                <c:pt idx="86">
                  <c:v>404.18236087365239</c:v>
                </c:pt>
                <c:pt idx="87">
                  <c:v>404.18236087365239</c:v>
                </c:pt>
                <c:pt idx="88">
                  <c:v>404.18236087365239</c:v>
                </c:pt>
                <c:pt idx="89">
                  <c:v>404.18236087365239</c:v>
                </c:pt>
                <c:pt idx="90">
                  <c:v>404.18236087365244</c:v>
                </c:pt>
                <c:pt idx="91">
                  <c:v>404.18236087365239</c:v>
                </c:pt>
                <c:pt idx="92">
                  <c:v>404.18236087365239</c:v>
                </c:pt>
                <c:pt idx="93">
                  <c:v>404.18236087365239</c:v>
                </c:pt>
                <c:pt idx="94">
                  <c:v>404.18236087365233</c:v>
                </c:pt>
                <c:pt idx="95">
                  <c:v>404.18236087365244</c:v>
                </c:pt>
                <c:pt idx="96">
                  <c:v>404.18236087365239</c:v>
                </c:pt>
                <c:pt idx="97">
                  <c:v>404.18236087365244</c:v>
                </c:pt>
                <c:pt idx="98">
                  <c:v>404.18236087365239</c:v>
                </c:pt>
                <c:pt idx="99">
                  <c:v>404.18236087365239</c:v>
                </c:pt>
                <c:pt idx="100">
                  <c:v>404.18236087365239</c:v>
                </c:pt>
                <c:pt idx="101">
                  <c:v>404.18236087365244</c:v>
                </c:pt>
                <c:pt idx="102">
                  <c:v>404.18236087365239</c:v>
                </c:pt>
                <c:pt idx="103">
                  <c:v>404.18236087365244</c:v>
                </c:pt>
                <c:pt idx="104">
                  <c:v>404.18236087365239</c:v>
                </c:pt>
                <c:pt idx="105">
                  <c:v>404.18236087365244</c:v>
                </c:pt>
                <c:pt idx="106">
                  <c:v>404.18236087365233</c:v>
                </c:pt>
                <c:pt idx="107">
                  <c:v>404.18236087365244</c:v>
                </c:pt>
                <c:pt idx="108">
                  <c:v>404.18236087365239</c:v>
                </c:pt>
                <c:pt idx="109">
                  <c:v>404.18236087365244</c:v>
                </c:pt>
                <c:pt idx="110">
                  <c:v>404.18236087365233</c:v>
                </c:pt>
                <c:pt idx="111">
                  <c:v>404.18236087365239</c:v>
                </c:pt>
                <c:pt idx="112">
                  <c:v>404.18236087365239</c:v>
                </c:pt>
                <c:pt idx="113">
                  <c:v>404.18236087365239</c:v>
                </c:pt>
                <c:pt idx="114">
                  <c:v>404.18236087365244</c:v>
                </c:pt>
                <c:pt idx="115">
                  <c:v>404.18236087365239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F48-420E-BDFA-375E573F9FFA}"/>
            </c:ext>
          </c:extLst>
        </c:ser>
        <c:ser>
          <c:idx val="1"/>
          <c:order val="2"/>
          <c:tx>
            <c:v>SLV</c:v>
          </c:tx>
          <c:spPr>
            <a:ln w="19050"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'Spettri y'!$AU$15:$AU$130</c:f>
              <c:numCache>
                <c:formatCode>0.000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8.8259349900035824E-2</c:v>
                </c:pt>
                <c:pt idx="3">
                  <c:v>0.17651869980007165</c:v>
                </c:pt>
                <c:pt idx="4">
                  <c:v>0.26477804970010749</c:v>
                </c:pt>
                <c:pt idx="5">
                  <c:v>0.35303739960014335</c:v>
                </c:pt>
                <c:pt idx="6">
                  <c:v>0.44129674950017916</c:v>
                </c:pt>
                <c:pt idx="7">
                  <c:v>0.52955609940021497</c:v>
                </c:pt>
                <c:pt idx="8">
                  <c:v>0.58131719691520956</c:v>
                </c:pt>
                <c:pt idx="9">
                  <c:v>0.63307829443020414</c:v>
                </c:pt>
                <c:pt idx="10">
                  <c:v>0.68483939194519872</c:v>
                </c:pt>
                <c:pt idx="11">
                  <c:v>0.7366004894601933</c:v>
                </c:pt>
                <c:pt idx="12">
                  <c:v>0.78836158697518788</c:v>
                </c:pt>
                <c:pt idx="13">
                  <c:v>0.84012268449018246</c:v>
                </c:pt>
                <c:pt idx="14">
                  <c:v>0.89188378200517704</c:v>
                </c:pt>
                <c:pt idx="15">
                  <c:v>0.94364487952017162</c:v>
                </c:pt>
                <c:pt idx="16">
                  <c:v>0.9954059770351662</c:v>
                </c:pt>
                <c:pt idx="17">
                  <c:v>1.0471670745501609</c:v>
                </c:pt>
                <c:pt idx="18">
                  <c:v>1.0989281720651556</c:v>
                </c:pt>
                <c:pt idx="19">
                  <c:v>1.1506892695801503</c:v>
                </c:pt>
                <c:pt idx="20">
                  <c:v>1.202450367095145</c:v>
                </c:pt>
                <c:pt idx="21">
                  <c:v>1.2542114646101397</c:v>
                </c:pt>
                <c:pt idx="22">
                  <c:v>1.3059725621251344</c:v>
                </c:pt>
                <c:pt idx="23">
                  <c:v>1.357733659640129</c:v>
                </c:pt>
                <c:pt idx="24">
                  <c:v>1.4094947571551237</c:v>
                </c:pt>
                <c:pt idx="25">
                  <c:v>1.4612558546701184</c:v>
                </c:pt>
                <c:pt idx="26">
                  <c:v>1.5130169521851131</c:v>
                </c:pt>
                <c:pt idx="27">
                  <c:v>1.5647780497001076</c:v>
                </c:pt>
                <c:pt idx="28">
                  <c:v>1.5647780497001076</c:v>
                </c:pt>
                <c:pt idx="29">
                  <c:v>1.6165391472151023</c:v>
                </c:pt>
                <c:pt idx="30">
                  <c:v>1.668300244730097</c:v>
                </c:pt>
                <c:pt idx="31">
                  <c:v>1.7200613422450917</c:v>
                </c:pt>
                <c:pt idx="32">
                  <c:v>1.7718224397600864</c:v>
                </c:pt>
                <c:pt idx="33">
                  <c:v>1.823583537275081</c:v>
                </c:pt>
                <c:pt idx="34">
                  <c:v>1.8753446347900757</c:v>
                </c:pt>
                <c:pt idx="35">
                  <c:v>1.9271057323050704</c:v>
                </c:pt>
                <c:pt idx="36">
                  <c:v>1.9788668298200651</c:v>
                </c:pt>
                <c:pt idx="37">
                  <c:v>2.0306279273350598</c:v>
                </c:pt>
                <c:pt idx="38">
                  <c:v>2.0823890248500545</c:v>
                </c:pt>
                <c:pt idx="39">
                  <c:v>2.1341501223650492</c:v>
                </c:pt>
                <c:pt idx="40">
                  <c:v>2.1859112198800439</c:v>
                </c:pt>
                <c:pt idx="41">
                  <c:v>2.2376723173950386</c:v>
                </c:pt>
                <c:pt idx="42">
                  <c:v>2.2894334149100333</c:v>
                </c:pt>
                <c:pt idx="43">
                  <c:v>2.341194512425028</c:v>
                </c:pt>
                <c:pt idx="44">
                  <c:v>2.3929556099400227</c:v>
                </c:pt>
                <c:pt idx="45">
                  <c:v>2.4447167074550173</c:v>
                </c:pt>
                <c:pt idx="46">
                  <c:v>2.496477804970012</c:v>
                </c:pt>
                <c:pt idx="47">
                  <c:v>2.5482389024850067</c:v>
                </c:pt>
                <c:pt idx="48">
                  <c:v>2.6</c:v>
                </c:pt>
                <c:pt idx="49">
                  <c:v>2.62</c:v>
                </c:pt>
                <c:pt idx="50">
                  <c:v>2.64</c:v>
                </c:pt>
                <c:pt idx="51">
                  <c:v>2.66</c:v>
                </c:pt>
                <c:pt idx="52">
                  <c:v>2.68</c:v>
                </c:pt>
                <c:pt idx="53">
                  <c:v>2.7</c:v>
                </c:pt>
                <c:pt idx="54">
                  <c:v>2.72</c:v>
                </c:pt>
                <c:pt idx="55">
                  <c:v>2.74</c:v>
                </c:pt>
                <c:pt idx="56">
                  <c:v>2.7600000000000002</c:v>
                </c:pt>
                <c:pt idx="57">
                  <c:v>2.7800000000000002</c:v>
                </c:pt>
                <c:pt idx="58">
                  <c:v>2.8000000000000003</c:v>
                </c:pt>
                <c:pt idx="59">
                  <c:v>2.8200000000000003</c:v>
                </c:pt>
                <c:pt idx="60">
                  <c:v>2.8400000000000003</c:v>
                </c:pt>
                <c:pt idx="61">
                  <c:v>2.8600000000000003</c:v>
                </c:pt>
                <c:pt idx="62">
                  <c:v>2.8800000000000003</c:v>
                </c:pt>
                <c:pt idx="63">
                  <c:v>2.9000000000000004</c:v>
                </c:pt>
                <c:pt idx="64">
                  <c:v>2.9200000000000004</c:v>
                </c:pt>
                <c:pt idx="65">
                  <c:v>2.9400000000000004</c:v>
                </c:pt>
                <c:pt idx="66">
                  <c:v>2.9600000000000004</c:v>
                </c:pt>
                <c:pt idx="67">
                  <c:v>2.9800000000000004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</c:numCache>
            </c:numRef>
          </c:xVal>
          <c:yVal>
            <c:numRef>
              <c:f>'Spettri y'!$AX$15:$AX$130</c:f>
              <c:numCache>
                <c:formatCode>0.00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1.104367167173713</c:v>
                </c:pt>
                <c:pt idx="3">
                  <c:v>6.2440466226126645</c:v>
                </c:pt>
                <c:pt idx="4">
                  <c:v>14.049104900878497</c:v>
                </c:pt>
                <c:pt idx="5">
                  <c:v>24.976186490450669</c:v>
                </c:pt>
                <c:pt idx="6">
                  <c:v>39.025291391329162</c:v>
                </c:pt>
                <c:pt idx="7">
                  <c:v>56.196419603513988</c:v>
                </c:pt>
                <c:pt idx="8">
                  <c:v>61.689300071486294</c:v>
                </c:pt>
                <c:pt idx="9">
                  <c:v>67.182180539458599</c:v>
                </c:pt>
                <c:pt idx="10">
                  <c:v>72.675061007430898</c:v>
                </c:pt>
                <c:pt idx="11">
                  <c:v>78.167941475403211</c:v>
                </c:pt>
                <c:pt idx="12">
                  <c:v>83.660821943375495</c:v>
                </c:pt>
                <c:pt idx="13">
                  <c:v>89.153702411347794</c:v>
                </c:pt>
                <c:pt idx="14">
                  <c:v>94.646582879320121</c:v>
                </c:pt>
                <c:pt idx="15">
                  <c:v>100.13946334729242</c:v>
                </c:pt>
                <c:pt idx="16">
                  <c:v>105.63234381526472</c:v>
                </c:pt>
                <c:pt idx="17">
                  <c:v>111.12522428323705</c:v>
                </c:pt>
                <c:pt idx="18">
                  <c:v>116.61810475120937</c:v>
                </c:pt>
                <c:pt idx="19">
                  <c:v>122.11098521918167</c:v>
                </c:pt>
                <c:pt idx="20">
                  <c:v>127.603865687154</c:v>
                </c:pt>
                <c:pt idx="21">
                  <c:v>133.09674615512628</c:v>
                </c:pt>
                <c:pt idx="22">
                  <c:v>138.58962662309861</c:v>
                </c:pt>
                <c:pt idx="23">
                  <c:v>144.08250709107091</c:v>
                </c:pt>
                <c:pt idx="24">
                  <c:v>149.57538755904324</c:v>
                </c:pt>
                <c:pt idx="25">
                  <c:v>155.06826802701556</c:v>
                </c:pt>
                <c:pt idx="26">
                  <c:v>160.56114849498786</c:v>
                </c:pt>
                <c:pt idx="27">
                  <c:v>166.05402896296016</c:v>
                </c:pt>
                <c:pt idx="28">
                  <c:v>166.05402896296016</c:v>
                </c:pt>
                <c:pt idx="29">
                  <c:v>171.54690943093249</c:v>
                </c:pt>
                <c:pt idx="30">
                  <c:v>177.03978989890481</c:v>
                </c:pt>
                <c:pt idx="31">
                  <c:v>182.53267036687711</c:v>
                </c:pt>
                <c:pt idx="32">
                  <c:v>188.02555083484944</c:v>
                </c:pt>
                <c:pt idx="33">
                  <c:v>193.51843130282174</c:v>
                </c:pt>
                <c:pt idx="34">
                  <c:v>199.01131177079407</c:v>
                </c:pt>
                <c:pt idx="35">
                  <c:v>204.50419223876639</c:v>
                </c:pt>
                <c:pt idx="36">
                  <c:v>209.99707270673869</c:v>
                </c:pt>
                <c:pt idx="37">
                  <c:v>215.48995317471099</c:v>
                </c:pt>
                <c:pt idx="38">
                  <c:v>220.98283364268332</c:v>
                </c:pt>
                <c:pt idx="39">
                  <c:v>226.47571411065562</c:v>
                </c:pt>
                <c:pt idx="40">
                  <c:v>231.96859457862794</c:v>
                </c:pt>
                <c:pt idx="41">
                  <c:v>237.46147504660027</c:v>
                </c:pt>
                <c:pt idx="42">
                  <c:v>242.9543555145726</c:v>
                </c:pt>
                <c:pt idx="43">
                  <c:v>248.44723598254487</c:v>
                </c:pt>
                <c:pt idx="44">
                  <c:v>253.94011645051719</c:v>
                </c:pt>
                <c:pt idx="45">
                  <c:v>259.43299691848949</c:v>
                </c:pt>
                <c:pt idx="46">
                  <c:v>264.92587738646188</c:v>
                </c:pt>
                <c:pt idx="47">
                  <c:v>270.41875785443415</c:v>
                </c:pt>
                <c:pt idx="48">
                  <c:v>275.9116383224063</c:v>
                </c:pt>
                <c:pt idx="49">
                  <c:v>275.9116383224063</c:v>
                </c:pt>
                <c:pt idx="50">
                  <c:v>275.9116383224063</c:v>
                </c:pt>
                <c:pt idx="51">
                  <c:v>275.9116383224063</c:v>
                </c:pt>
                <c:pt idx="52">
                  <c:v>275.9116383224063</c:v>
                </c:pt>
                <c:pt idx="53">
                  <c:v>275.9116383224063</c:v>
                </c:pt>
                <c:pt idx="54">
                  <c:v>275.9116383224063</c:v>
                </c:pt>
                <c:pt idx="55">
                  <c:v>275.9116383224063</c:v>
                </c:pt>
                <c:pt idx="56">
                  <c:v>275.9116383224063</c:v>
                </c:pt>
                <c:pt idx="57">
                  <c:v>275.9116383224063</c:v>
                </c:pt>
                <c:pt idx="58">
                  <c:v>275.9116383224063</c:v>
                </c:pt>
                <c:pt idx="59">
                  <c:v>275.9116383224063</c:v>
                </c:pt>
                <c:pt idx="60">
                  <c:v>275.9116383224063</c:v>
                </c:pt>
                <c:pt idx="61">
                  <c:v>275.9116383224063</c:v>
                </c:pt>
                <c:pt idx="62">
                  <c:v>275.91163832240636</c:v>
                </c:pt>
                <c:pt idx="63">
                  <c:v>275.9116383224063</c:v>
                </c:pt>
                <c:pt idx="64">
                  <c:v>275.9116383224063</c:v>
                </c:pt>
                <c:pt idx="65">
                  <c:v>275.9116383224063</c:v>
                </c:pt>
                <c:pt idx="66">
                  <c:v>275.9116383224063</c:v>
                </c:pt>
                <c:pt idx="67">
                  <c:v>275.9116383224063</c:v>
                </c:pt>
                <c:pt idx="68">
                  <c:v>275.9116383224063</c:v>
                </c:pt>
                <c:pt idx="69">
                  <c:v>275.9116383224063</c:v>
                </c:pt>
                <c:pt idx="70">
                  <c:v>275.9116383224063</c:v>
                </c:pt>
                <c:pt idx="71">
                  <c:v>275.9116383224063</c:v>
                </c:pt>
                <c:pt idx="72">
                  <c:v>275.9116383224063</c:v>
                </c:pt>
                <c:pt idx="73">
                  <c:v>275.9116383224063</c:v>
                </c:pt>
                <c:pt idx="74">
                  <c:v>275.9116383224063</c:v>
                </c:pt>
                <c:pt idx="75">
                  <c:v>275.9116383224063</c:v>
                </c:pt>
                <c:pt idx="76">
                  <c:v>275.9116383224063</c:v>
                </c:pt>
                <c:pt idx="77">
                  <c:v>275.9116383224063</c:v>
                </c:pt>
                <c:pt idx="78">
                  <c:v>275.9116383224063</c:v>
                </c:pt>
                <c:pt idx="79">
                  <c:v>275.9116383224063</c:v>
                </c:pt>
                <c:pt idx="80">
                  <c:v>275.9116383224063</c:v>
                </c:pt>
                <c:pt idx="81">
                  <c:v>275.9116383224063</c:v>
                </c:pt>
                <c:pt idx="82">
                  <c:v>275.9116383224063</c:v>
                </c:pt>
                <c:pt idx="83">
                  <c:v>275.9116383224063</c:v>
                </c:pt>
                <c:pt idx="84">
                  <c:v>275.9116383224063</c:v>
                </c:pt>
                <c:pt idx="85">
                  <c:v>275.9116383224063</c:v>
                </c:pt>
                <c:pt idx="86">
                  <c:v>275.9116383224063</c:v>
                </c:pt>
                <c:pt idx="87">
                  <c:v>275.9116383224063</c:v>
                </c:pt>
                <c:pt idx="88">
                  <c:v>275.9116383224063</c:v>
                </c:pt>
                <c:pt idx="89">
                  <c:v>275.9116383224063</c:v>
                </c:pt>
                <c:pt idx="90">
                  <c:v>275.9116383224063</c:v>
                </c:pt>
                <c:pt idx="91">
                  <c:v>275.9116383224063</c:v>
                </c:pt>
                <c:pt idx="92">
                  <c:v>275.9116383224063</c:v>
                </c:pt>
                <c:pt idx="93">
                  <c:v>275.9116383224063</c:v>
                </c:pt>
                <c:pt idx="94">
                  <c:v>275.9116383224063</c:v>
                </c:pt>
                <c:pt idx="95">
                  <c:v>275.9116383224063</c:v>
                </c:pt>
                <c:pt idx="96">
                  <c:v>275.91163832240636</c:v>
                </c:pt>
                <c:pt idx="97">
                  <c:v>275.9116383224063</c:v>
                </c:pt>
                <c:pt idx="98">
                  <c:v>275.9116383224063</c:v>
                </c:pt>
                <c:pt idx="99">
                  <c:v>275.9116383224063</c:v>
                </c:pt>
                <c:pt idx="100">
                  <c:v>275.9116383224063</c:v>
                </c:pt>
                <c:pt idx="101">
                  <c:v>275.9116383224063</c:v>
                </c:pt>
                <c:pt idx="102">
                  <c:v>275.9116383224063</c:v>
                </c:pt>
                <c:pt idx="103">
                  <c:v>275.9116383224063</c:v>
                </c:pt>
                <c:pt idx="104">
                  <c:v>275.9116383224063</c:v>
                </c:pt>
                <c:pt idx="105">
                  <c:v>275.9116383224063</c:v>
                </c:pt>
                <c:pt idx="106">
                  <c:v>275.9116383224063</c:v>
                </c:pt>
                <c:pt idx="107">
                  <c:v>275.9116383224063</c:v>
                </c:pt>
                <c:pt idx="108">
                  <c:v>275.9116383224063</c:v>
                </c:pt>
                <c:pt idx="109">
                  <c:v>275.9116383224063</c:v>
                </c:pt>
                <c:pt idx="110">
                  <c:v>275.9116383224063</c:v>
                </c:pt>
                <c:pt idx="111">
                  <c:v>275.9116383224063</c:v>
                </c:pt>
                <c:pt idx="112">
                  <c:v>275.9116383224063</c:v>
                </c:pt>
                <c:pt idx="113">
                  <c:v>275.9116383224063</c:v>
                </c:pt>
                <c:pt idx="114">
                  <c:v>275.9116383224063</c:v>
                </c:pt>
                <c:pt idx="115">
                  <c:v>275.9116383224063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F48-420E-BDFA-375E573F9FFA}"/>
            </c:ext>
          </c:extLst>
        </c:ser>
        <c:ser>
          <c:idx val="2"/>
          <c:order val="3"/>
          <c:tx>
            <c:v>SLD</c:v>
          </c:tx>
          <c:spPr>
            <a:ln w="12700"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'Spettri y'!$AQ$15:$AQ$130</c:f>
              <c:numCache>
                <c:formatCode>0.000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7.6708688772966063E-2</c:v>
                </c:pt>
                <c:pt idx="3">
                  <c:v>0.15341737754593213</c:v>
                </c:pt>
                <c:pt idx="4">
                  <c:v>0.23012606631889818</c:v>
                </c:pt>
                <c:pt idx="5">
                  <c:v>0.3068347550918642</c:v>
                </c:pt>
                <c:pt idx="6">
                  <c:v>0.38354344386483025</c:v>
                </c:pt>
                <c:pt idx="7">
                  <c:v>0.46025213263779635</c:v>
                </c:pt>
                <c:pt idx="8">
                  <c:v>0.49694582932185144</c:v>
                </c:pt>
                <c:pt idx="9">
                  <c:v>0.53363952600590658</c:v>
                </c:pt>
                <c:pt idx="10">
                  <c:v>0.57033322268996167</c:v>
                </c:pt>
                <c:pt idx="11">
                  <c:v>0.60702691937401676</c:v>
                </c:pt>
                <c:pt idx="12">
                  <c:v>0.64372061605807185</c:v>
                </c:pt>
                <c:pt idx="13">
                  <c:v>0.68041431274212694</c:v>
                </c:pt>
                <c:pt idx="14">
                  <c:v>0.71710800942618202</c:v>
                </c:pt>
                <c:pt idx="15">
                  <c:v>0.75380170611023711</c:v>
                </c:pt>
                <c:pt idx="16">
                  <c:v>0.7904954027942922</c:v>
                </c:pt>
                <c:pt idx="17">
                  <c:v>0.82718909947834729</c:v>
                </c:pt>
                <c:pt idx="18">
                  <c:v>0.86388279616240238</c:v>
                </c:pt>
                <c:pt idx="19">
                  <c:v>0.90057649284645747</c:v>
                </c:pt>
                <c:pt idx="20">
                  <c:v>0.93727018953051255</c:v>
                </c:pt>
                <c:pt idx="21">
                  <c:v>0.97396388621456764</c:v>
                </c:pt>
                <c:pt idx="22">
                  <c:v>1.0106575828986228</c:v>
                </c:pt>
                <c:pt idx="23">
                  <c:v>1.0473512795826778</c:v>
                </c:pt>
                <c:pt idx="24">
                  <c:v>1.0840449762667328</c:v>
                </c:pt>
                <c:pt idx="25">
                  <c:v>1.1207386729507878</c:v>
                </c:pt>
                <c:pt idx="26">
                  <c:v>1.1574323696348428</c:v>
                </c:pt>
                <c:pt idx="27">
                  <c:v>1.1941260663188982</c:v>
                </c:pt>
                <c:pt idx="28">
                  <c:v>1.1941260663188982</c:v>
                </c:pt>
                <c:pt idx="29">
                  <c:v>1.2308197630029534</c:v>
                </c:pt>
                <c:pt idx="30">
                  <c:v>1.2675134596870086</c:v>
                </c:pt>
                <c:pt idx="31">
                  <c:v>1.3042071563710638</c:v>
                </c:pt>
                <c:pt idx="32">
                  <c:v>1.340900853055119</c:v>
                </c:pt>
                <c:pt idx="33">
                  <c:v>1.3775945497391742</c:v>
                </c:pt>
                <c:pt idx="34">
                  <c:v>1.4142882464232294</c:v>
                </c:pt>
                <c:pt idx="35">
                  <c:v>1.4509819431072846</c:v>
                </c:pt>
                <c:pt idx="36">
                  <c:v>1.4876756397913398</c:v>
                </c:pt>
                <c:pt idx="37">
                  <c:v>1.524369336475395</c:v>
                </c:pt>
                <c:pt idx="38">
                  <c:v>1.5610630331594502</c:v>
                </c:pt>
                <c:pt idx="39">
                  <c:v>1.5977567298435054</c:v>
                </c:pt>
                <c:pt idx="40">
                  <c:v>1.6344504265275606</c:v>
                </c:pt>
                <c:pt idx="41">
                  <c:v>1.6711441232116158</c:v>
                </c:pt>
                <c:pt idx="42">
                  <c:v>1.707837819895671</c:v>
                </c:pt>
                <c:pt idx="43">
                  <c:v>1.7445315165797262</c:v>
                </c:pt>
                <c:pt idx="44">
                  <c:v>1.7812252132637814</c:v>
                </c:pt>
                <c:pt idx="45">
                  <c:v>1.8179189099478366</c:v>
                </c:pt>
                <c:pt idx="46">
                  <c:v>1.8546126066318918</c:v>
                </c:pt>
                <c:pt idx="47">
                  <c:v>1.891306303315947</c:v>
                </c:pt>
                <c:pt idx="48">
                  <c:v>1.9280000000000002</c:v>
                </c:pt>
                <c:pt idx="49">
                  <c:v>1.9816000000000003</c:v>
                </c:pt>
                <c:pt idx="50">
                  <c:v>2.0352000000000001</c:v>
                </c:pt>
                <c:pt idx="51">
                  <c:v>2.0888</c:v>
                </c:pt>
                <c:pt idx="52">
                  <c:v>2.1423999999999999</c:v>
                </c:pt>
                <c:pt idx="53">
                  <c:v>2.1959999999999997</c:v>
                </c:pt>
                <c:pt idx="54">
                  <c:v>2.2495999999999996</c:v>
                </c:pt>
                <c:pt idx="55">
                  <c:v>2.3031999999999995</c:v>
                </c:pt>
                <c:pt idx="56">
                  <c:v>2.3567999999999993</c:v>
                </c:pt>
                <c:pt idx="57">
                  <c:v>2.4103999999999992</c:v>
                </c:pt>
                <c:pt idx="58">
                  <c:v>2.4639999999999991</c:v>
                </c:pt>
                <c:pt idx="59">
                  <c:v>2.5175999999999989</c:v>
                </c:pt>
                <c:pt idx="60">
                  <c:v>2.5711999999999988</c:v>
                </c:pt>
                <c:pt idx="61">
                  <c:v>2.6247999999999987</c:v>
                </c:pt>
                <c:pt idx="62">
                  <c:v>2.6783999999999986</c:v>
                </c:pt>
                <c:pt idx="63">
                  <c:v>2.7319999999999984</c:v>
                </c:pt>
                <c:pt idx="64">
                  <c:v>2.7855999999999983</c:v>
                </c:pt>
                <c:pt idx="65">
                  <c:v>2.8391999999999982</c:v>
                </c:pt>
                <c:pt idx="66">
                  <c:v>2.892799999999998</c:v>
                </c:pt>
                <c:pt idx="67">
                  <c:v>2.9463999999999979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</c:numCache>
            </c:numRef>
          </c:xVal>
          <c:yVal>
            <c:numRef>
              <c:f>'Spettri y'!$AT$15:$AT$130</c:f>
              <c:numCache>
                <c:formatCode>0.00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0.29818653376555521</c:v>
                </c:pt>
                <c:pt idx="3">
                  <c:v>1.6661037688806417</c:v>
                </c:pt>
                <c:pt idx="4">
                  <c:v>3.7487334799814431</c:v>
                </c:pt>
                <c:pt idx="5">
                  <c:v>6.6644150755225624</c:v>
                </c:pt>
                <c:pt idx="6">
                  <c:v>10.413148555504005</c:v>
                </c:pt>
                <c:pt idx="7">
                  <c:v>14.994933919925773</c:v>
                </c:pt>
                <c:pt idx="8">
                  <c:v>16.190408135116883</c:v>
                </c:pt>
                <c:pt idx="9">
                  <c:v>17.385882350307998</c:v>
                </c:pt>
                <c:pt idx="10">
                  <c:v>18.581356565499107</c:v>
                </c:pt>
                <c:pt idx="11">
                  <c:v>19.776830780690222</c:v>
                </c:pt>
                <c:pt idx="12">
                  <c:v>20.972304995881338</c:v>
                </c:pt>
                <c:pt idx="13">
                  <c:v>22.16777921107245</c:v>
                </c:pt>
                <c:pt idx="14">
                  <c:v>23.363253426263562</c:v>
                </c:pt>
                <c:pt idx="15">
                  <c:v>24.558727641454674</c:v>
                </c:pt>
                <c:pt idx="16">
                  <c:v>25.754201856645786</c:v>
                </c:pt>
                <c:pt idx="17">
                  <c:v>26.949676071836901</c:v>
                </c:pt>
                <c:pt idx="18">
                  <c:v>28.145150287028013</c:v>
                </c:pt>
                <c:pt idx="19">
                  <c:v>29.340624502219121</c:v>
                </c:pt>
                <c:pt idx="20">
                  <c:v>30.536098717410241</c:v>
                </c:pt>
                <c:pt idx="21">
                  <c:v>31.731572932601349</c:v>
                </c:pt>
                <c:pt idx="22">
                  <c:v>32.927047147792464</c:v>
                </c:pt>
                <c:pt idx="23">
                  <c:v>34.122521362983569</c:v>
                </c:pt>
                <c:pt idx="24">
                  <c:v>35.317995578174688</c:v>
                </c:pt>
                <c:pt idx="25">
                  <c:v>36.513469793365793</c:v>
                </c:pt>
                <c:pt idx="26">
                  <c:v>37.708944008556898</c:v>
                </c:pt>
                <c:pt idx="27">
                  <c:v>38.904418223748024</c:v>
                </c:pt>
                <c:pt idx="28">
                  <c:v>38.904418223748024</c:v>
                </c:pt>
                <c:pt idx="29">
                  <c:v>40.099892438939136</c:v>
                </c:pt>
                <c:pt idx="30">
                  <c:v>41.295366654130248</c:v>
                </c:pt>
                <c:pt idx="31">
                  <c:v>42.490840869321367</c:v>
                </c:pt>
                <c:pt idx="32">
                  <c:v>43.686315084512486</c:v>
                </c:pt>
                <c:pt idx="33">
                  <c:v>44.881789299703605</c:v>
                </c:pt>
                <c:pt idx="34">
                  <c:v>46.077263514894717</c:v>
                </c:pt>
                <c:pt idx="35">
                  <c:v>47.272737730085829</c:v>
                </c:pt>
                <c:pt idx="36">
                  <c:v>48.468211945276956</c:v>
                </c:pt>
                <c:pt idx="37">
                  <c:v>49.663686160468075</c:v>
                </c:pt>
                <c:pt idx="38">
                  <c:v>50.859160375659179</c:v>
                </c:pt>
                <c:pt idx="39">
                  <c:v>52.054634590850306</c:v>
                </c:pt>
                <c:pt idx="40">
                  <c:v>53.250108806041425</c:v>
                </c:pt>
                <c:pt idx="41">
                  <c:v>54.445583021232537</c:v>
                </c:pt>
                <c:pt idx="42">
                  <c:v>55.641057236423649</c:v>
                </c:pt>
                <c:pt idx="43">
                  <c:v>56.836531451614761</c:v>
                </c:pt>
                <c:pt idx="44">
                  <c:v>58.03200566680588</c:v>
                </c:pt>
                <c:pt idx="45">
                  <c:v>59.227479881996999</c:v>
                </c:pt>
                <c:pt idx="46">
                  <c:v>60.422954097188111</c:v>
                </c:pt>
                <c:pt idx="47">
                  <c:v>61.618428312379223</c:v>
                </c:pt>
                <c:pt idx="48">
                  <c:v>62.813902527570264</c:v>
                </c:pt>
                <c:pt idx="49">
                  <c:v>62.813902527570278</c:v>
                </c:pt>
                <c:pt idx="50">
                  <c:v>62.813902527570285</c:v>
                </c:pt>
                <c:pt idx="51">
                  <c:v>62.813902527570278</c:v>
                </c:pt>
                <c:pt idx="52">
                  <c:v>62.813902527570278</c:v>
                </c:pt>
                <c:pt idx="53">
                  <c:v>62.813902527570278</c:v>
                </c:pt>
                <c:pt idx="54">
                  <c:v>62.813902527570278</c:v>
                </c:pt>
                <c:pt idx="55">
                  <c:v>62.813902527570278</c:v>
                </c:pt>
                <c:pt idx="56">
                  <c:v>62.813902527570278</c:v>
                </c:pt>
                <c:pt idx="57">
                  <c:v>62.813902527570278</c:v>
                </c:pt>
                <c:pt idx="58">
                  <c:v>62.813902527570278</c:v>
                </c:pt>
                <c:pt idx="59">
                  <c:v>62.813902527570278</c:v>
                </c:pt>
                <c:pt idx="60">
                  <c:v>62.813902527570278</c:v>
                </c:pt>
                <c:pt idx="61">
                  <c:v>62.813902527570278</c:v>
                </c:pt>
                <c:pt idx="62">
                  <c:v>62.813902527570264</c:v>
                </c:pt>
                <c:pt idx="63">
                  <c:v>62.813902527570278</c:v>
                </c:pt>
                <c:pt idx="64">
                  <c:v>62.813902527570264</c:v>
                </c:pt>
                <c:pt idx="65">
                  <c:v>62.813902527570278</c:v>
                </c:pt>
                <c:pt idx="66">
                  <c:v>62.813902527570285</c:v>
                </c:pt>
                <c:pt idx="67">
                  <c:v>62.813902527570278</c:v>
                </c:pt>
                <c:pt idx="68">
                  <c:v>62.813902527570264</c:v>
                </c:pt>
                <c:pt idx="69">
                  <c:v>62.813902527570264</c:v>
                </c:pt>
                <c:pt idx="70">
                  <c:v>62.813902527570264</c:v>
                </c:pt>
                <c:pt idx="71">
                  <c:v>62.813902527570264</c:v>
                </c:pt>
                <c:pt idx="72">
                  <c:v>62.813902527570264</c:v>
                </c:pt>
                <c:pt idx="73">
                  <c:v>62.813902527570264</c:v>
                </c:pt>
                <c:pt idx="74">
                  <c:v>62.813902527570264</c:v>
                </c:pt>
                <c:pt idx="75">
                  <c:v>62.813902527570264</c:v>
                </c:pt>
                <c:pt idx="76">
                  <c:v>62.813902527570264</c:v>
                </c:pt>
                <c:pt idx="77">
                  <c:v>62.813902527570264</c:v>
                </c:pt>
                <c:pt idx="78">
                  <c:v>62.813902527570264</c:v>
                </c:pt>
                <c:pt idx="79">
                  <c:v>62.813902527570264</c:v>
                </c:pt>
                <c:pt idx="80">
                  <c:v>62.813902527570264</c:v>
                </c:pt>
                <c:pt idx="81">
                  <c:v>62.813902527570264</c:v>
                </c:pt>
                <c:pt idx="82">
                  <c:v>62.813902527570264</c:v>
                </c:pt>
                <c:pt idx="83">
                  <c:v>62.813902527570264</c:v>
                </c:pt>
                <c:pt idx="84">
                  <c:v>62.813902527570264</c:v>
                </c:pt>
                <c:pt idx="85">
                  <c:v>62.813902527570264</c:v>
                </c:pt>
                <c:pt idx="86">
                  <c:v>62.813902527570264</c:v>
                </c:pt>
                <c:pt idx="87">
                  <c:v>62.813902527570264</c:v>
                </c:pt>
                <c:pt idx="88">
                  <c:v>62.813902527570264</c:v>
                </c:pt>
                <c:pt idx="89">
                  <c:v>62.813902527570264</c:v>
                </c:pt>
                <c:pt idx="90">
                  <c:v>62.813902527570278</c:v>
                </c:pt>
                <c:pt idx="91">
                  <c:v>62.813902527570278</c:v>
                </c:pt>
                <c:pt idx="92">
                  <c:v>62.813902527570278</c:v>
                </c:pt>
                <c:pt idx="93">
                  <c:v>62.813902527570278</c:v>
                </c:pt>
                <c:pt idx="94">
                  <c:v>62.813902527570278</c:v>
                </c:pt>
                <c:pt idx="95">
                  <c:v>62.813902527570278</c:v>
                </c:pt>
                <c:pt idx="96">
                  <c:v>62.813902527570278</c:v>
                </c:pt>
                <c:pt idx="97">
                  <c:v>62.813902527570264</c:v>
                </c:pt>
                <c:pt idx="98">
                  <c:v>62.813902527570278</c:v>
                </c:pt>
                <c:pt idx="99">
                  <c:v>62.813902527570278</c:v>
                </c:pt>
                <c:pt idx="100">
                  <c:v>62.813902527570278</c:v>
                </c:pt>
                <c:pt idx="101">
                  <c:v>62.813902527570278</c:v>
                </c:pt>
                <c:pt idx="102">
                  <c:v>62.813902527570278</c:v>
                </c:pt>
                <c:pt idx="103">
                  <c:v>62.813902527570278</c:v>
                </c:pt>
                <c:pt idx="104">
                  <c:v>62.813902527570278</c:v>
                </c:pt>
                <c:pt idx="105">
                  <c:v>62.813902527570278</c:v>
                </c:pt>
                <c:pt idx="106">
                  <c:v>62.813902527570278</c:v>
                </c:pt>
                <c:pt idx="107">
                  <c:v>62.813902527570278</c:v>
                </c:pt>
                <c:pt idx="108">
                  <c:v>62.813902527570278</c:v>
                </c:pt>
                <c:pt idx="109">
                  <c:v>62.813902527570264</c:v>
                </c:pt>
                <c:pt idx="110">
                  <c:v>62.813902527570278</c:v>
                </c:pt>
                <c:pt idx="111">
                  <c:v>62.813902527570264</c:v>
                </c:pt>
                <c:pt idx="112">
                  <c:v>62.813902527570285</c:v>
                </c:pt>
                <c:pt idx="113">
                  <c:v>62.813902527570278</c:v>
                </c:pt>
                <c:pt idx="114">
                  <c:v>62.813902527570278</c:v>
                </c:pt>
                <c:pt idx="115">
                  <c:v>62.813902527570264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F48-420E-BDFA-375E573F9FFA}"/>
            </c:ext>
          </c:extLst>
        </c:ser>
        <c:ser>
          <c:idx val="3"/>
          <c:order val="4"/>
          <c:tx>
            <c:v>SLO</c:v>
          </c:tx>
          <c:spPr>
            <a:ln w="1270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xVal>
            <c:numRef>
              <c:f>'Spettri y'!$AM$15:$AM$130</c:f>
              <c:numCache>
                <c:formatCode>0.000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7.4581983584264488E-2</c:v>
                </c:pt>
                <c:pt idx="3">
                  <c:v>0.14916396716852898</c:v>
                </c:pt>
                <c:pt idx="4">
                  <c:v>0.22374595075279347</c:v>
                </c:pt>
                <c:pt idx="5">
                  <c:v>0.29832793433705795</c:v>
                </c:pt>
                <c:pt idx="6">
                  <c:v>0.37290991792132244</c:v>
                </c:pt>
                <c:pt idx="7">
                  <c:v>0.44749190150558693</c:v>
                </c:pt>
                <c:pt idx="8">
                  <c:v>0.48240460396794727</c:v>
                </c:pt>
                <c:pt idx="9">
                  <c:v>0.5173173064303076</c:v>
                </c:pt>
                <c:pt idx="10">
                  <c:v>0.55223000889266793</c:v>
                </c:pt>
                <c:pt idx="11">
                  <c:v>0.58714271135502827</c:v>
                </c:pt>
                <c:pt idx="12">
                  <c:v>0.6220554138173886</c:v>
                </c:pt>
                <c:pt idx="13">
                  <c:v>0.65696811627974894</c:v>
                </c:pt>
                <c:pt idx="14">
                  <c:v>0.69188081874210927</c:v>
                </c:pt>
                <c:pt idx="15">
                  <c:v>0.72679352120446961</c:v>
                </c:pt>
                <c:pt idx="16">
                  <c:v>0.76170622366682994</c:v>
                </c:pt>
                <c:pt idx="17">
                  <c:v>0.79661892612919027</c:v>
                </c:pt>
                <c:pt idx="18">
                  <c:v>0.83153162859155061</c:v>
                </c:pt>
                <c:pt idx="19">
                  <c:v>0.86644433105391094</c:v>
                </c:pt>
                <c:pt idx="20">
                  <c:v>0.90135703351627128</c:v>
                </c:pt>
                <c:pt idx="21">
                  <c:v>0.93626973597863161</c:v>
                </c:pt>
                <c:pt idx="22">
                  <c:v>0.97118243844099195</c:v>
                </c:pt>
                <c:pt idx="23">
                  <c:v>1.0060951409033523</c:v>
                </c:pt>
                <c:pt idx="24">
                  <c:v>1.0410078433657126</c:v>
                </c:pt>
                <c:pt idx="25">
                  <c:v>1.0759205458280729</c:v>
                </c:pt>
                <c:pt idx="26">
                  <c:v>1.1108332482904333</c:v>
                </c:pt>
                <c:pt idx="27">
                  <c:v>1.1457459507527936</c:v>
                </c:pt>
                <c:pt idx="28">
                  <c:v>1.1457459507527936</c:v>
                </c:pt>
                <c:pt idx="29">
                  <c:v>1.180658653215154</c:v>
                </c:pt>
                <c:pt idx="30">
                  <c:v>1.2155713556775143</c:v>
                </c:pt>
                <c:pt idx="31">
                  <c:v>1.2504840581398746</c:v>
                </c:pt>
                <c:pt idx="32">
                  <c:v>1.285396760602235</c:v>
                </c:pt>
                <c:pt idx="33">
                  <c:v>1.3203094630645953</c:v>
                </c:pt>
                <c:pt idx="34">
                  <c:v>1.3552221655269556</c:v>
                </c:pt>
                <c:pt idx="35">
                  <c:v>1.390134867989316</c:v>
                </c:pt>
                <c:pt idx="36">
                  <c:v>1.4250475704516763</c:v>
                </c:pt>
                <c:pt idx="37">
                  <c:v>1.4599602729140366</c:v>
                </c:pt>
                <c:pt idx="38">
                  <c:v>1.494872975376397</c:v>
                </c:pt>
                <c:pt idx="39">
                  <c:v>1.5297856778387573</c:v>
                </c:pt>
                <c:pt idx="40">
                  <c:v>1.5646983803011176</c:v>
                </c:pt>
                <c:pt idx="41">
                  <c:v>1.599611082763478</c:v>
                </c:pt>
                <c:pt idx="42">
                  <c:v>1.6345237852258383</c:v>
                </c:pt>
                <c:pt idx="43">
                  <c:v>1.6694364876881986</c:v>
                </c:pt>
                <c:pt idx="44">
                  <c:v>1.704349190150559</c:v>
                </c:pt>
                <c:pt idx="45">
                  <c:v>1.7392618926129193</c:v>
                </c:pt>
                <c:pt idx="46">
                  <c:v>1.7741745950752796</c:v>
                </c:pt>
                <c:pt idx="47">
                  <c:v>1.80908729753764</c:v>
                </c:pt>
                <c:pt idx="48">
                  <c:v>1.8440000000000001</c:v>
                </c:pt>
                <c:pt idx="49">
                  <c:v>1.8729</c:v>
                </c:pt>
                <c:pt idx="50">
                  <c:v>1.9017999999999999</c:v>
                </c:pt>
                <c:pt idx="51">
                  <c:v>1.9306999999999999</c:v>
                </c:pt>
                <c:pt idx="52">
                  <c:v>1.9595999999999998</c:v>
                </c:pt>
                <c:pt idx="53">
                  <c:v>1.9884999999999997</c:v>
                </c:pt>
                <c:pt idx="54">
                  <c:v>2.0173999999999999</c:v>
                </c:pt>
                <c:pt idx="55">
                  <c:v>2.0463</c:v>
                </c:pt>
                <c:pt idx="56">
                  <c:v>2.0752000000000002</c:v>
                </c:pt>
                <c:pt idx="57">
                  <c:v>2.1041000000000003</c:v>
                </c:pt>
                <c:pt idx="58">
                  <c:v>2.1330000000000005</c:v>
                </c:pt>
                <c:pt idx="59">
                  <c:v>2.1619000000000006</c:v>
                </c:pt>
                <c:pt idx="60">
                  <c:v>2.1908000000000007</c:v>
                </c:pt>
                <c:pt idx="61">
                  <c:v>2.2197000000000009</c:v>
                </c:pt>
                <c:pt idx="62">
                  <c:v>2.248600000000001</c:v>
                </c:pt>
                <c:pt idx="63">
                  <c:v>2.2775000000000012</c:v>
                </c:pt>
                <c:pt idx="64">
                  <c:v>2.3064000000000013</c:v>
                </c:pt>
                <c:pt idx="65">
                  <c:v>2.3353000000000015</c:v>
                </c:pt>
                <c:pt idx="66">
                  <c:v>2.3642000000000016</c:v>
                </c:pt>
                <c:pt idx="67">
                  <c:v>2.3931000000000018</c:v>
                </c:pt>
                <c:pt idx="68">
                  <c:v>2.4220000000000002</c:v>
                </c:pt>
                <c:pt idx="69">
                  <c:v>2.4220000000000002</c:v>
                </c:pt>
                <c:pt idx="70">
                  <c:v>2.4509000000000003</c:v>
                </c:pt>
                <c:pt idx="71">
                  <c:v>2.4798000000000004</c:v>
                </c:pt>
                <c:pt idx="72">
                  <c:v>2.5087000000000006</c:v>
                </c:pt>
                <c:pt idx="73">
                  <c:v>2.5376000000000007</c:v>
                </c:pt>
                <c:pt idx="74">
                  <c:v>2.5665000000000009</c:v>
                </c:pt>
                <c:pt idx="75">
                  <c:v>2.595400000000001</c:v>
                </c:pt>
                <c:pt idx="76">
                  <c:v>2.6243000000000012</c:v>
                </c:pt>
                <c:pt idx="77">
                  <c:v>2.6532000000000013</c:v>
                </c:pt>
                <c:pt idx="78">
                  <c:v>2.6821000000000015</c:v>
                </c:pt>
                <c:pt idx="79">
                  <c:v>2.7110000000000016</c:v>
                </c:pt>
                <c:pt idx="80">
                  <c:v>2.7399000000000018</c:v>
                </c:pt>
                <c:pt idx="81">
                  <c:v>2.7688000000000019</c:v>
                </c:pt>
                <c:pt idx="82">
                  <c:v>2.7977000000000021</c:v>
                </c:pt>
                <c:pt idx="83">
                  <c:v>2.8266000000000022</c:v>
                </c:pt>
                <c:pt idx="84">
                  <c:v>2.8555000000000024</c:v>
                </c:pt>
                <c:pt idx="85">
                  <c:v>2.8844000000000025</c:v>
                </c:pt>
                <c:pt idx="86">
                  <c:v>2.9133000000000027</c:v>
                </c:pt>
                <c:pt idx="87">
                  <c:v>2.9422000000000028</c:v>
                </c:pt>
                <c:pt idx="88">
                  <c:v>2.971100000000003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</c:numCache>
            </c:numRef>
          </c:xVal>
          <c:yVal>
            <c:numRef>
              <c:f>'Spettri y'!$AP$15:$AP$130</c:f>
              <c:numCache>
                <c:formatCode>0.00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0.21247483753023669</c:v>
                </c:pt>
                <c:pt idx="3">
                  <c:v>1.193906229931806</c:v>
                </c:pt>
                <c:pt idx="4">
                  <c:v>2.6862890173465641</c:v>
                </c:pt>
                <c:pt idx="5">
                  <c:v>4.7756249197272238</c:v>
                </c:pt>
                <c:pt idx="6">
                  <c:v>7.4619139370737892</c:v>
                </c:pt>
                <c:pt idx="7">
                  <c:v>10.745156069386256</c:v>
                </c:pt>
                <c:pt idx="8">
                  <c:v>11.583478361923708</c:v>
                </c:pt>
                <c:pt idx="9">
                  <c:v>12.421800654461162</c:v>
                </c:pt>
                <c:pt idx="10">
                  <c:v>13.260122946998615</c:v>
                </c:pt>
                <c:pt idx="11">
                  <c:v>14.098445239536069</c:v>
                </c:pt>
                <c:pt idx="12">
                  <c:v>14.936767532073519</c:v>
                </c:pt>
                <c:pt idx="13">
                  <c:v>15.775089824610973</c:v>
                </c:pt>
                <c:pt idx="14">
                  <c:v>16.613412117148425</c:v>
                </c:pt>
                <c:pt idx="15">
                  <c:v>17.451734409685876</c:v>
                </c:pt>
                <c:pt idx="16">
                  <c:v>18.290056702223332</c:v>
                </c:pt>
                <c:pt idx="17">
                  <c:v>19.12837899476078</c:v>
                </c:pt>
                <c:pt idx="18">
                  <c:v>19.966701287298235</c:v>
                </c:pt>
                <c:pt idx="19">
                  <c:v>20.805023579835687</c:v>
                </c:pt>
                <c:pt idx="20">
                  <c:v>21.643345872373139</c:v>
                </c:pt>
                <c:pt idx="21">
                  <c:v>22.481668164910591</c:v>
                </c:pt>
                <c:pt idx="22">
                  <c:v>23.319990457448046</c:v>
                </c:pt>
                <c:pt idx="23">
                  <c:v>24.158312749985498</c:v>
                </c:pt>
                <c:pt idx="24">
                  <c:v>24.996635042522954</c:v>
                </c:pt>
                <c:pt idx="25">
                  <c:v>25.834957335060405</c:v>
                </c:pt>
                <c:pt idx="26">
                  <c:v>26.673279627597854</c:v>
                </c:pt>
                <c:pt idx="27">
                  <c:v>27.511601920135309</c:v>
                </c:pt>
                <c:pt idx="28">
                  <c:v>27.511601920135309</c:v>
                </c:pt>
                <c:pt idx="29">
                  <c:v>28.349924212672757</c:v>
                </c:pt>
                <c:pt idx="30">
                  <c:v>29.188246505210216</c:v>
                </c:pt>
                <c:pt idx="31">
                  <c:v>30.026568797747665</c:v>
                </c:pt>
                <c:pt idx="32">
                  <c:v>30.864891090285123</c:v>
                </c:pt>
                <c:pt idx="33">
                  <c:v>31.703213382822568</c:v>
                </c:pt>
                <c:pt idx="34">
                  <c:v>32.541535675360031</c:v>
                </c:pt>
                <c:pt idx="35">
                  <c:v>33.379857967897479</c:v>
                </c:pt>
                <c:pt idx="36">
                  <c:v>34.218180260434927</c:v>
                </c:pt>
                <c:pt idx="37">
                  <c:v>35.056502552972383</c:v>
                </c:pt>
                <c:pt idx="38">
                  <c:v>35.894824845509838</c:v>
                </c:pt>
                <c:pt idx="39">
                  <c:v>36.733147138047293</c:v>
                </c:pt>
                <c:pt idx="40">
                  <c:v>37.571469430584742</c:v>
                </c:pt>
                <c:pt idx="41">
                  <c:v>38.409791723122197</c:v>
                </c:pt>
                <c:pt idx="42">
                  <c:v>39.248114015659652</c:v>
                </c:pt>
                <c:pt idx="43">
                  <c:v>40.086436308197094</c:v>
                </c:pt>
                <c:pt idx="44">
                  <c:v>40.924758600734556</c:v>
                </c:pt>
                <c:pt idx="45">
                  <c:v>41.763080893271997</c:v>
                </c:pt>
                <c:pt idx="46">
                  <c:v>42.601403185809467</c:v>
                </c:pt>
                <c:pt idx="47">
                  <c:v>43.439725478346915</c:v>
                </c:pt>
                <c:pt idx="48">
                  <c:v>44.278047770884356</c:v>
                </c:pt>
                <c:pt idx="49">
                  <c:v>44.278047770884356</c:v>
                </c:pt>
                <c:pt idx="50">
                  <c:v>44.278047770884356</c:v>
                </c:pt>
                <c:pt idx="51">
                  <c:v>44.278047770884356</c:v>
                </c:pt>
                <c:pt idx="52">
                  <c:v>44.278047770884356</c:v>
                </c:pt>
                <c:pt idx="53">
                  <c:v>44.278047770884363</c:v>
                </c:pt>
                <c:pt idx="54">
                  <c:v>44.278047770884356</c:v>
                </c:pt>
                <c:pt idx="55">
                  <c:v>44.278047770884356</c:v>
                </c:pt>
                <c:pt idx="56">
                  <c:v>44.278047770884363</c:v>
                </c:pt>
                <c:pt idx="57">
                  <c:v>44.278047770884356</c:v>
                </c:pt>
                <c:pt idx="58">
                  <c:v>44.278047770884356</c:v>
                </c:pt>
                <c:pt idx="59">
                  <c:v>44.278047770884363</c:v>
                </c:pt>
                <c:pt idx="60">
                  <c:v>44.278047770884363</c:v>
                </c:pt>
                <c:pt idx="61">
                  <c:v>44.278047770884356</c:v>
                </c:pt>
                <c:pt idx="62">
                  <c:v>44.278047770884356</c:v>
                </c:pt>
                <c:pt idx="63">
                  <c:v>44.278047770884356</c:v>
                </c:pt>
                <c:pt idx="64">
                  <c:v>44.27804777088437</c:v>
                </c:pt>
                <c:pt idx="65">
                  <c:v>44.278047770884363</c:v>
                </c:pt>
                <c:pt idx="66">
                  <c:v>44.278047770884356</c:v>
                </c:pt>
                <c:pt idx="67">
                  <c:v>44.278047770884363</c:v>
                </c:pt>
                <c:pt idx="68">
                  <c:v>44.278047770884356</c:v>
                </c:pt>
                <c:pt idx="69">
                  <c:v>44.278047770884356</c:v>
                </c:pt>
                <c:pt idx="70">
                  <c:v>44.278047770884363</c:v>
                </c:pt>
                <c:pt idx="71">
                  <c:v>44.278047770884363</c:v>
                </c:pt>
                <c:pt idx="72">
                  <c:v>44.278047770884356</c:v>
                </c:pt>
                <c:pt idx="73">
                  <c:v>44.278047770884363</c:v>
                </c:pt>
                <c:pt idx="74">
                  <c:v>44.278047770884356</c:v>
                </c:pt>
                <c:pt idx="75">
                  <c:v>44.278047770884356</c:v>
                </c:pt>
                <c:pt idx="76">
                  <c:v>44.278047770884356</c:v>
                </c:pt>
                <c:pt idx="77">
                  <c:v>44.278047770884356</c:v>
                </c:pt>
                <c:pt idx="78">
                  <c:v>44.278047770884356</c:v>
                </c:pt>
                <c:pt idx="79">
                  <c:v>44.278047770884356</c:v>
                </c:pt>
                <c:pt idx="80">
                  <c:v>44.278047770884363</c:v>
                </c:pt>
                <c:pt idx="81">
                  <c:v>44.278047770884363</c:v>
                </c:pt>
                <c:pt idx="82">
                  <c:v>44.278047770884363</c:v>
                </c:pt>
                <c:pt idx="83">
                  <c:v>44.278047770884356</c:v>
                </c:pt>
                <c:pt idx="84">
                  <c:v>44.278047770884356</c:v>
                </c:pt>
                <c:pt idx="85">
                  <c:v>44.278047770884363</c:v>
                </c:pt>
                <c:pt idx="86">
                  <c:v>44.278047770884356</c:v>
                </c:pt>
                <c:pt idx="87">
                  <c:v>44.278047770884356</c:v>
                </c:pt>
                <c:pt idx="88">
                  <c:v>44.278047770884356</c:v>
                </c:pt>
                <c:pt idx="89">
                  <c:v>44.278047770884356</c:v>
                </c:pt>
                <c:pt idx="90">
                  <c:v>44.278047770884356</c:v>
                </c:pt>
                <c:pt idx="91">
                  <c:v>44.278047770884356</c:v>
                </c:pt>
                <c:pt idx="92">
                  <c:v>44.27804777088437</c:v>
                </c:pt>
                <c:pt idx="93">
                  <c:v>44.278047770884356</c:v>
                </c:pt>
                <c:pt idx="94">
                  <c:v>44.278047770884356</c:v>
                </c:pt>
                <c:pt idx="95">
                  <c:v>44.278047770884356</c:v>
                </c:pt>
                <c:pt idx="96">
                  <c:v>44.278047770884363</c:v>
                </c:pt>
                <c:pt idx="97">
                  <c:v>44.278047770884356</c:v>
                </c:pt>
                <c:pt idx="98">
                  <c:v>44.278047770884356</c:v>
                </c:pt>
                <c:pt idx="99">
                  <c:v>44.278047770884356</c:v>
                </c:pt>
                <c:pt idx="100">
                  <c:v>44.278047770884363</c:v>
                </c:pt>
                <c:pt idx="101">
                  <c:v>44.278047770884363</c:v>
                </c:pt>
                <c:pt idx="102">
                  <c:v>44.278047770884363</c:v>
                </c:pt>
                <c:pt idx="103">
                  <c:v>44.278047770884363</c:v>
                </c:pt>
                <c:pt idx="104">
                  <c:v>44.278047770884356</c:v>
                </c:pt>
                <c:pt idx="105">
                  <c:v>44.278047770884356</c:v>
                </c:pt>
                <c:pt idx="106">
                  <c:v>44.278047770884356</c:v>
                </c:pt>
                <c:pt idx="107">
                  <c:v>44.278047770884356</c:v>
                </c:pt>
                <c:pt idx="108">
                  <c:v>44.278047770884363</c:v>
                </c:pt>
                <c:pt idx="109">
                  <c:v>44.278047770884356</c:v>
                </c:pt>
                <c:pt idx="110">
                  <c:v>44.278047770884356</c:v>
                </c:pt>
                <c:pt idx="111">
                  <c:v>44.278047770884356</c:v>
                </c:pt>
                <c:pt idx="112">
                  <c:v>44.278047770884363</c:v>
                </c:pt>
                <c:pt idx="113">
                  <c:v>44.278047770884356</c:v>
                </c:pt>
                <c:pt idx="114">
                  <c:v>44.278047770884356</c:v>
                </c:pt>
                <c:pt idx="115">
                  <c:v>44.278047770884356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F48-420E-BDFA-375E573F9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000384"/>
        <c:axId val="153883392"/>
      </c:scatterChart>
      <c:valAx>
        <c:axId val="154000384"/>
        <c:scaling>
          <c:orientation val="minMax"/>
          <c:max val="3"/>
          <c:min val="0"/>
        </c:scaling>
        <c:delete val="0"/>
        <c:axPos val="b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53883392"/>
        <c:crosses val="autoZero"/>
        <c:crossBetween val="midCat"/>
      </c:valAx>
      <c:valAx>
        <c:axId val="153883392"/>
        <c:scaling>
          <c:orientation val="minMax"/>
          <c:max val="45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54000384"/>
        <c:crosses val="autoZero"/>
        <c:crossBetween val="midCat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3136760803085104"/>
          <c:y val="0.24817637795275591"/>
          <c:w val="0.17116071428571417"/>
          <c:h val="0.29501942257217845"/>
        </c:manualLayout>
      </c:layout>
      <c:overlay val="1"/>
      <c:spPr>
        <a:solidFill>
          <a:schemeClr val="bg1"/>
        </a:solidFill>
      </c:spPr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'Spettri y'!$AA$10</c:f>
          <c:strCache>
            <c:ptCount val="1"/>
            <c:pt idx="0">
              <c:v>Piazza Cairoli, Messina - spettri elastici, ag/g</c:v>
            </c:pt>
          </c:strCache>
        </c:strRef>
      </c:tx>
      <c:layout>
        <c:manualLayout>
          <c:xMode val="edge"/>
          <c:yMode val="edge"/>
          <c:x val="0.16933023997000374"/>
          <c:y val="1.7777777777777781E-2"/>
        </c:manualLayout>
      </c:layout>
      <c:overlay val="0"/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5"/>
          <c:order val="0"/>
          <c:tx>
            <c:v/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xVal>
            <c:numRef>
              <c:f>'Spettri y'!$AA$15:$AA$18</c:f>
              <c:numCache>
                <c:formatCode>General</c:formatCode>
                <c:ptCount val="4"/>
                <c:pt idx="0">
                  <c:v>0.61099999999999999</c:v>
                </c:pt>
                <c:pt idx="1">
                  <c:v>0.61099999999999999</c:v>
                </c:pt>
                <c:pt idx="2">
                  <c:v>0.61099999999999999</c:v>
                </c:pt>
                <c:pt idx="3">
                  <c:v>0.61099999999999999</c:v>
                </c:pt>
              </c:numCache>
            </c:numRef>
          </c:xVal>
          <c:yVal>
            <c:numRef>
              <c:f>'Spettri y'!$AB$15:$AB$18</c:f>
              <c:numCache>
                <c:formatCode>0.000</c:formatCode>
                <c:ptCount val="4"/>
                <c:pt idx="0">
                  <c:v>0.15815286613930676</c:v>
                </c:pt>
                <c:pt idx="1">
                  <c:v>0.21458445911663462</c:v>
                </c:pt>
                <c:pt idx="2">
                  <c:v>0.69895013179366716</c:v>
                </c:pt>
                <c:pt idx="3">
                  <c:v>0.90058030635901176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6E-49A3-AFDA-61F7668B17DE}"/>
            </c:ext>
          </c:extLst>
        </c:ser>
        <c:ser>
          <c:idx val="0"/>
          <c:order val="1"/>
          <c:tx>
            <c:v>SLC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'Spettri y'!$AY$15:$AY$140</c:f>
              <c:numCache>
                <c:formatCode>0.000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9.199860185971169E-2</c:v>
                </c:pt>
                <c:pt idx="3">
                  <c:v>0.18399720371942338</c:v>
                </c:pt>
                <c:pt idx="4">
                  <c:v>0.27599580557913506</c:v>
                </c:pt>
                <c:pt idx="5">
                  <c:v>0.3679944074388467</c:v>
                </c:pt>
                <c:pt idx="6">
                  <c:v>0.45999300929855835</c:v>
                </c:pt>
                <c:pt idx="7">
                  <c:v>0.55199161115827011</c:v>
                </c:pt>
                <c:pt idx="8">
                  <c:v>0.61209182087931335</c:v>
                </c:pt>
                <c:pt idx="9">
                  <c:v>0.67219203060035659</c:v>
                </c:pt>
                <c:pt idx="10">
                  <c:v>0.73229224032139983</c:v>
                </c:pt>
                <c:pt idx="11">
                  <c:v>0.79239245004244308</c:v>
                </c:pt>
                <c:pt idx="12">
                  <c:v>0.85249265976348632</c:v>
                </c:pt>
                <c:pt idx="13">
                  <c:v>0.91259286948452956</c:v>
                </c:pt>
                <c:pt idx="14">
                  <c:v>0.9726930792055728</c:v>
                </c:pt>
                <c:pt idx="15">
                  <c:v>1.032793288926616</c:v>
                </c:pt>
                <c:pt idx="16">
                  <c:v>1.0928934986476593</c:v>
                </c:pt>
                <c:pt idx="17">
                  <c:v>1.1529937083687025</c:v>
                </c:pt>
                <c:pt idx="18">
                  <c:v>1.2130939180897458</c:v>
                </c:pt>
                <c:pt idx="19">
                  <c:v>1.273194127810789</c:v>
                </c:pt>
                <c:pt idx="20">
                  <c:v>1.3332943375318322</c:v>
                </c:pt>
                <c:pt idx="21">
                  <c:v>1.3933945472528755</c:v>
                </c:pt>
                <c:pt idx="22">
                  <c:v>1.4534947569739187</c:v>
                </c:pt>
                <c:pt idx="23">
                  <c:v>1.513594966694962</c:v>
                </c:pt>
                <c:pt idx="24">
                  <c:v>1.5736951764160052</c:v>
                </c:pt>
                <c:pt idx="25">
                  <c:v>1.6337953861370484</c:v>
                </c:pt>
                <c:pt idx="26">
                  <c:v>1.6938955958580917</c:v>
                </c:pt>
                <c:pt idx="27">
                  <c:v>1.7539958055791351</c:v>
                </c:pt>
                <c:pt idx="28">
                  <c:v>1.7539958055791351</c:v>
                </c:pt>
                <c:pt idx="29">
                  <c:v>1.8140960153001784</c:v>
                </c:pt>
                <c:pt idx="30">
                  <c:v>1.8741962250212216</c:v>
                </c:pt>
                <c:pt idx="31">
                  <c:v>1.9342964347422649</c:v>
                </c:pt>
                <c:pt idx="32">
                  <c:v>1.9943966444633081</c:v>
                </c:pt>
                <c:pt idx="33">
                  <c:v>2.0544968541843516</c:v>
                </c:pt>
                <c:pt idx="34">
                  <c:v>2.114597063905395</c:v>
                </c:pt>
                <c:pt idx="35">
                  <c:v>2.1746972736264385</c:v>
                </c:pt>
                <c:pt idx="36">
                  <c:v>2.234797483347482</c:v>
                </c:pt>
                <c:pt idx="37">
                  <c:v>2.2948976930685254</c:v>
                </c:pt>
                <c:pt idx="38">
                  <c:v>2.3549979027895689</c:v>
                </c:pt>
                <c:pt idx="39">
                  <c:v>2.4150981125106123</c:v>
                </c:pt>
                <c:pt idx="40">
                  <c:v>2.4751983222316558</c:v>
                </c:pt>
                <c:pt idx="41">
                  <c:v>2.5352985319526993</c:v>
                </c:pt>
                <c:pt idx="42">
                  <c:v>2.5953987416737427</c:v>
                </c:pt>
                <c:pt idx="43">
                  <c:v>2.6554989513947862</c:v>
                </c:pt>
                <c:pt idx="44">
                  <c:v>2.7155991611158297</c:v>
                </c:pt>
                <c:pt idx="45">
                  <c:v>2.7756993708368731</c:v>
                </c:pt>
                <c:pt idx="46">
                  <c:v>2.8357995805579166</c:v>
                </c:pt>
                <c:pt idx="47">
                  <c:v>2.8958997902789601</c:v>
                </c:pt>
                <c:pt idx="48">
                  <c:v>2.9560000000000004</c:v>
                </c:pt>
                <c:pt idx="49">
                  <c:v>2.9582000000000006</c:v>
                </c:pt>
                <c:pt idx="50">
                  <c:v>2.9604000000000008</c:v>
                </c:pt>
                <c:pt idx="51">
                  <c:v>2.962600000000001</c:v>
                </c:pt>
                <c:pt idx="52">
                  <c:v>2.9648000000000012</c:v>
                </c:pt>
                <c:pt idx="53">
                  <c:v>2.9670000000000014</c:v>
                </c:pt>
                <c:pt idx="54">
                  <c:v>2.9692000000000016</c:v>
                </c:pt>
                <c:pt idx="55">
                  <c:v>2.9714000000000018</c:v>
                </c:pt>
                <c:pt idx="56">
                  <c:v>2.973600000000002</c:v>
                </c:pt>
                <c:pt idx="57">
                  <c:v>2.9758000000000022</c:v>
                </c:pt>
                <c:pt idx="58">
                  <c:v>2.9780000000000024</c:v>
                </c:pt>
                <c:pt idx="59">
                  <c:v>2.9802000000000026</c:v>
                </c:pt>
                <c:pt idx="60">
                  <c:v>2.9824000000000028</c:v>
                </c:pt>
                <c:pt idx="61">
                  <c:v>2.984600000000003</c:v>
                </c:pt>
                <c:pt idx="62">
                  <c:v>2.9868000000000032</c:v>
                </c:pt>
                <c:pt idx="63">
                  <c:v>2.9890000000000034</c:v>
                </c:pt>
                <c:pt idx="64">
                  <c:v>2.9912000000000036</c:v>
                </c:pt>
                <c:pt idx="65">
                  <c:v>2.9934000000000038</c:v>
                </c:pt>
                <c:pt idx="66">
                  <c:v>2.995600000000004</c:v>
                </c:pt>
                <c:pt idx="67">
                  <c:v>2.9978000000000042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  <c:pt idx="116">
                  <c:v>6.4</c:v>
                </c:pt>
                <c:pt idx="117">
                  <c:v>6.8</c:v>
                </c:pt>
                <c:pt idx="118">
                  <c:v>7.2</c:v>
                </c:pt>
                <c:pt idx="119">
                  <c:v>7.6</c:v>
                </c:pt>
                <c:pt idx="120">
                  <c:v>8</c:v>
                </c:pt>
                <c:pt idx="121">
                  <c:v>8.4</c:v>
                </c:pt>
                <c:pt idx="122">
                  <c:v>8.8000000000000007</c:v>
                </c:pt>
                <c:pt idx="123">
                  <c:v>9.1999999999999993</c:v>
                </c:pt>
                <c:pt idx="124">
                  <c:v>9.6</c:v>
                </c:pt>
                <c:pt idx="125">
                  <c:v>10</c:v>
                </c:pt>
              </c:numCache>
            </c:numRef>
          </c:xVal>
          <c:yVal>
            <c:numRef>
              <c:f>'Spettri y'!$BA$15:$BA$140</c:f>
              <c:numCache>
                <c:formatCode>0.0000</c:formatCode>
                <c:ptCount val="126"/>
                <c:pt idx="0">
                  <c:v>0.40771089300000007</c:v>
                </c:pt>
                <c:pt idx="1">
                  <c:v>0.40771089300000007</c:v>
                </c:pt>
                <c:pt idx="2">
                  <c:v>0.70228201319250005</c:v>
                </c:pt>
                <c:pt idx="3">
                  <c:v>0.99685313338500015</c:v>
                </c:pt>
                <c:pt idx="4">
                  <c:v>0.99685313338500015</c:v>
                </c:pt>
                <c:pt idx="5">
                  <c:v>0.99685313338500015</c:v>
                </c:pt>
                <c:pt idx="6">
                  <c:v>0.99685313338500015</c:v>
                </c:pt>
                <c:pt idx="7">
                  <c:v>0.99685313338500015</c:v>
                </c:pt>
                <c:pt idx="8">
                  <c:v>0.8989738931568737</c:v>
                </c:pt>
                <c:pt idx="9">
                  <c:v>0.81859727895599399</c:v>
                </c:pt>
                <c:pt idx="10">
                  <c:v>0.75141389856029583</c:v>
                </c:pt>
                <c:pt idx="11">
                  <c:v>0.69442176935921429</c:v>
                </c:pt>
                <c:pt idx="12">
                  <c:v>0.64546546047448383</c:v>
                </c:pt>
                <c:pt idx="13">
                  <c:v>0.60295733791582529</c:v>
                </c:pt>
                <c:pt idx="14">
                  <c:v>0.56570215101639798</c:v>
                </c:pt>
                <c:pt idx="15">
                  <c:v>0.53278286476593661</c:v>
                </c:pt>
                <c:pt idx="16">
                  <c:v>0.50348416187509426</c:v>
                </c:pt>
                <c:pt idx="17">
                  <c:v>0.47723986973344057</c:v>
                </c:pt>
                <c:pt idx="18">
                  <c:v>0.45359601509818781</c:v>
                </c:pt>
                <c:pt idx="19">
                  <c:v>0.43218434264341044</c:v>
                </c:pt>
                <c:pt idx="20">
                  <c:v>0.41270299565209012</c:v>
                </c:pt>
                <c:pt idx="21">
                  <c:v>0.39490219641680213</c:v>
                </c:pt>
                <c:pt idx="22">
                  <c:v>0.37857347922668139</c:v>
                </c:pt>
                <c:pt idx="23">
                  <c:v>0.3635414885045995</c:v>
                </c:pt>
                <c:pt idx="24">
                  <c:v>0.3496576563439226</c:v>
                </c:pt>
                <c:pt idx="25">
                  <c:v>0.33679527550042848</c:v>
                </c:pt>
                <c:pt idx="26">
                  <c:v>0.32484562125956107</c:v>
                </c:pt>
                <c:pt idx="27">
                  <c:v>0.31371487060293901</c:v>
                </c:pt>
                <c:pt idx="28">
                  <c:v>0.31371487060293901</c:v>
                </c:pt>
                <c:pt idx="29">
                  <c:v>0.30332163377488347</c:v>
                </c:pt>
                <c:pt idx="30">
                  <c:v>0.29359496078332226</c:v>
                </c:pt>
                <c:pt idx="31">
                  <c:v>0.28447271953880987</c:v>
                </c:pt>
                <c:pt idx="32">
                  <c:v>0.27590026723767858</c:v>
                </c:pt>
                <c:pt idx="33">
                  <c:v>0.26782935494141252</c:v>
                </c:pt>
                <c:pt idx="34">
                  <c:v>0.26021721895759425</c:v>
                </c:pt>
                <c:pt idx="35">
                  <c:v>0.25302582288511982</c:v>
                </c:pt>
                <c:pt idx="36">
                  <c:v>0.24622122196107679</c:v>
                </c:pt>
                <c:pt idx="37">
                  <c:v>0.23977302728890129</c:v>
                </c:pt>
                <c:pt idx="38">
                  <c:v>0.23365395210482454</c:v>
                </c:pt>
                <c:pt idx="39">
                  <c:v>0.22783942579183239</c:v>
                </c:pt>
                <c:pt idx="40">
                  <c:v>0.22230726412631163</c:v>
                </c:pt>
                <c:pt idx="41">
                  <c:v>0.21703738642626333</c:v>
                </c:pt>
                <c:pt idx="42">
                  <c:v>0.21201157199856824</c:v>
                </c:pt>
                <c:pt idx="43">
                  <c:v>0.20721324965929208</c:v>
                </c:pt>
                <c:pt idx="44">
                  <c:v>0.20262731520334487</c:v>
                </c:pt>
                <c:pt idx="45">
                  <c:v>0.1982399725873247</c:v>
                </c:pt>
                <c:pt idx="46">
                  <c:v>0.19403859530760589</c:v>
                </c:pt>
                <c:pt idx="47">
                  <c:v>0.19001160503981063</c:v>
                </c:pt>
                <c:pt idx="48">
                  <c:v>0.18614836508300273</c:v>
                </c:pt>
                <c:pt idx="49">
                  <c:v>0.18587159263914296</c:v>
                </c:pt>
                <c:pt idx="50">
                  <c:v>0.18559543701034079</c:v>
                </c:pt>
                <c:pt idx="51">
                  <c:v>0.18531989636511145</c:v>
                </c:pt>
                <c:pt idx="52">
                  <c:v>0.18504496887876301</c:v>
                </c:pt>
                <c:pt idx="53">
                  <c:v>0.18477065273336568</c:v>
                </c:pt>
                <c:pt idx="54">
                  <c:v>0.18449694611772235</c:v>
                </c:pt>
                <c:pt idx="55">
                  <c:v>0.18422384722733826</c:v>
                </c:pt>
                <c:pt idx="56">
                  <c:v>0.18395135426439138</c:v>
                </c:pt>
                <c:pt idx="57">
                  <c:v>0.18367946543770289</c:v>
                </c:pt>
                <c:pt idx="58">
                  <c:v>0.18340817896270775</c:v>
                </c:pt>
                <c:pt idx="59">
                  <c:v>0.18313749306142532</c:v>
                </c:pt>
                <c:pt idx="60">
                  <c:v>0.18286740596243017</c:v>
                </c:pt>
                <c:pt idx="61">
                  <c:v>0.18259791590082344</c:v>
                </c:pt>
                <c:pt idx="62">
                  <c:v>0.18232902111820351</c:v>
                </c:pt>
                <c:pt idx="63">
                  <c:v>0.18206071986263778</c:v>
                </c:pt>
                <c:pt idx="64">
                  <c:v>0.18179301038863382</c:v>
                </c:pt>
                <c:pt idx="65">
                  <c:v>0.18152589095711116</c:v>
                </c:pt>
                <c:pt idx="66">
                  <c:v>0.18125935983537292</c:v>
                </c:pt>
                <c:pt idx="67">
                  <c:v>0.18099341529707774</c:v>
                </c:pt>
                <c:pt idx="68">
                  <c:v>0.18072805562221256</c:v>
                </c:pt>
                <c:pt idx="69">
                  <c:v>0.18072805562221256</c:v>
                </c:pt>
                <c:pt idx="70">
                  <c:v>0.18072805562221256</c:v>
                </c:pt>
                <c:pt idx="71">
                  <c:v>0.18072805562221256</c:v>
                </c:pt>
                <c:pt idx="72">
                  <c:v>0.18072805562221256</c:v>
                </c:pt>
                <c:pt idx="73">
                  <c:v>0.18072805562221256</c:v>
                </c:pt>
                <c:pt idx="74">
                  <c:v>0.18072805562221256</c:v>
                </c:pt>
                <c:pt idx="75">
                  <c:v>0.18072805562221256</c:v>
                </c:pt>
                <c:pt idx="76">
                  <c:v>0.18072805562221256</c:v>
                </c:pt>
                <c:pt idx="77">
                  <c:v>0.18072805562221256</c:v>
                </c:pt>
                <c:pt idx="78">
                  <c:v>0.18072805562221256</c:v>
                </c:pt>
                <c:pt idx="79">
                  <c:v>0.18072805562221256</c:v>
                </c:pt>
                <c:pt idx="80">
                  <c:v>0.18072805562221256</c:v>
                </c:pt>
                <c:pt idx="81">
                  <c:v>0.18072805562221256</c:v>
                </c:pt>
                <c:pt idx="82">
                  <c:v>0.18072805562221256</c:v>
                </c:pt>
                <c:pt idx="83">
                  <c:v>0.18072805562221256</c:v>
                </c:pt>
                <c:pt idx="84">
                  <c:v>0.18072805562221256</c:v>
                </c:pt>
                <c:pt idx="85">
                  <c:v>0.18072805562221256</c:v>
                </c:pt>
                <c:pt idx="86">
                  <c:v>0.18072805562221256</c:v>
                </c:pt>
                <c:pt idx="87">
                  <c:v>0.18072805562221256</c:v>
                </c:pt>
                <c:pt idx="88">
                  <c:v>0.18072805562221256</c:v>
                </c:pt>
                <c:pt idx="89">
                  <c:v>0.18072805562221256</c:v>
                </c:pt>
                <c:pt idx="90">
                  <c:v>0.16758870452759356</c:v>
                </c:pt>
                <c:pt idx="91">
                  <c:v>0.15583184387833632</c:v>
                </c:pt>
                <c:pt idx="92">
                  <c:v>0.14527011367492945</c:v>
                </c:pt>
                <c:pt idx="93">
                  <c:v>0.13574685066735076</c:v>
                </c:pt>
                <c:pt idx="94">
                  <c:v>0.12713024516193097</c:v>
                </c:pt>
                <c:pt idx="95">
                  <c:v>0.11930875546935124</c:v>
                </c:pt>
                <c:pt idx="96">
                  <c:v>0.11218747989037252</c:v>
                </c:pt>
                <c:pt idx="97">
                  <c:v>0.10568526436039419</c:v>
                </c:pt>
                <c:pt idx="98">
                  <c:v>9.9732380082135266E-2</c:v>
                </c:pt>
                <c:pt idx="99">
                  <c:v>9.4268646296771383E-2</c:v>
                </c:pt>
                <c:pt idx="100">
                  <c:v>8.924190328752063E-2</c:v>
                </c:pt>
                <c:pt idx="101">
                  <c:v>8.4606762881312858E-2</c:v>
                </c:pt>
                <c:pt idx="102">
                  <c:v>8.0323580276538978E-2</c:v>
                </c:pt>
                <c:pt idx="103">
                  <c:v>7.6357603500384882E-2</c:v>
                </c:pt>
                <c:pt idx="104">
                  <c:v>7.2678266270443673E-2</c:v>
                </c:pt>
                <c:pt idx="105">
                  <c:v>6.9258597279260689E-2</c:v>
                </c:pt>
                <c:pt idx="106">
                  <c:v>6.6074724500062659E-2</c:v>
                </c:pt>
                <c:pt idx="107">
                  <c:v>6.310545743833465E-2</c:v>
                </c:pt>
                <c:pt idx="108">
                  <c:v>6.0331933629933776E-2</c:v>
                </c:pt>
                <c:pt idx="109">
                  <c:v>5.7737318336775006E-2</c:v>
                </c:pt>
                <c:pt idx="110">
                  <c:v>5.5306548483755505E-2</c:v>
                </c:pt>
                <c:pt idx="111">
                  <c:v>5.3026113541933997E-2</c:v>
                </c:pt>
                <c:pt idx="112">
                  <c:v>5.0883867388844622E-2</c:v>
                </c:pt>
                <c:pt idx="113">
                  <c:v>4.8868866240246382E-2</c:v>
                </c:pt>
                <c:pt idx="114">
                  <c:v>4.6971228604619747E-2</c:v>
                </c:pt>
                <c:pt idx="115">
                  <c:v>4.5182013905553139E-2</c:v>
                </c:pt>
                <c:pt idx="116">
                  <c:v>3.7363840702786491E-2</c:v>
                </c:pt>
                <c:pt idx="117">
                  <c:v>3.1018454363589031E-2</c:v>
                </c:pt>
                <c:pt idx="118">
                  <c:v>2.5813343834077518E-2</c:v>
                </c:pt>
                <c:pt idx="119">
                  <c:v>2.1503361477576192E-2</c:v>
                </c:pt>
                <c:pt idx="120">
                  <c:v>1.7904758961422226E-2</c:v>
                </c:pt>
                <c:pt idx="121">
                  <c:v>1.4877763437035773E-2</c:v>
                </c:pt>
                <c:pt idx="122">
                  <c:v>1.2314635882017901E-2</c:v>
                </c:pt>
                <c:pt idx="123">
                  <c:v>1.0131330544537909E-2</c:v>
                </c:pt>
                <c:pt idx="124">
                  <c:v>8.2615693562924294E-3</c:v>
                </c:pt>
                <c:pt idx="125">
                  <c:v>6.6525664646213201E-3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6E-49A3-AFDA-61F7668B17DE}"/>
            </c:ext>
          </c:extLst>
        </c:ser>
        <c:ser>
          <c:idx val="1"/>
          <c:order val="2"/>
          <c:tx>
            <c:v>SLV</c:v>
          </c:tx>
          <c:spPr>
            <a:ln w="19050"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'Spettri y'!$AU$15:$AU$140</c:f>
              <c:numCache>
                <c:formatCode>0.000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8.8259349900035824E-2</c:v>
                </c:pt>
                <c:pt idx="3">
                  <c:v>0.17651869980007165</c:v>
                </c:pt>
                <c:pt idx="4">
                  <c:v>0.26477804970010749</c:v>
                </c:pt>
                <c:pt idx="5">
                  <c:v>0.35303739960014335</c:v>
                </c:pt>
                <c:pt idx="6">
                  <c:v>0.44129674950017916</c:v>
                </c:pt>
                <c:pt idx="7">
                  <c:v>0.52955609940021497</c:v>
                </c:pt>
                <c:pt idx="8">
                  <c:v>0.58131719691520956</c:v>
                </c:pt>
                <c:pt idx="9">
                  <c:v>0.63307829443020414</c:v>
                </c:pt>
                <c:pt idx="10">
                  <c:v>0.68483939194519872</c:v>
                </c:pt>
                <c:pt idx="11">
                  <c:v>0.7366004894601933</c:v>
                </c:pt>
                <c:pt idx="12">
                  <c:v>0.78836158697518788</c:v>
                </c:pt>
                <c:pt idx="13">
                  <c:v>0.84012268449018246</c:v>
                </c:pt>
                <c:pt idx="14">
                  <c:v>0.89188378200517704</c:v>
                </c:pt>
                <c:pt idx="15">
                  <c:v>0.94364487952017162</c:v>
                </c:pt>
                <c:pt idx="16">
                  <c:v>0.9954059770351662</c:v>
                </c:pt>
                <c:pt idx="17">
                  <c:v>1.0471670745501609</c:v>
                </c:pt>
                <c:pt idx="18">
                  <c:v>1.0989281720651556</c:v>
                </c:pt>
                <c:pt idx="19">
                  <c:v>1.1506892695801503</c:v>
                </c:pt>
                <c:pt idx="20">
                  <c:v>1.202450367095145</c:v>
                </c:pt>
                <c:pt idx="21">
                  <c:v>1.2542114646101397</c:v>
                </c:pt>
                <c:pt idx="22">
                  <c:v>1.3059725621251344</c:v>
                </c:pt>
                <c:pt idx="23">
                  <c:v>1.357733659640129</c:v>
                </c:pt>
                <c:pt idx="24">
                  <c:v>1.4094947571551237</c:v>
                </c:pt>
                <c:pt idx="25">
                  <c:v>1.4612558546701184</c:v>
                </c:pt>
                <c:pt idx="26">
                  <c:v>1.5130169521851131</c:v>
                </c:pt>
                <c:pt idx="27">
                  <c:v>1.5647780497001076</c:v>
                </c:pt>
                <c:pt idx="28">
                  <c:v>1.5647780497001076</c:v>
                </c:pt>
                <c:pt idx="29">
                  <c:v>1.6165391472151023</c:v>
                </c:pt>
                <c:pt idx="30">
                  <c:v>1.668300244730097</c:v>
                </c:pt>
                <c:pt idx="31">
                  <c:v>1.7200613422450917</c:v>
                </c:pt>
                <c:pt idx="32">
                  <c:v>1.7718224397600864</c:v>
                </c:pt>
                <c:pt idx="33">
                  <c:v>1.823583537275081</c:v>
                </c:pt>
                <c:pt idx="34">
                  <c:v>1.8753446347900757</c:v>
                </c:pt>
                <c:pt idx="35">
                  <c:v>1.9271057323050704</c:v>
                </c:pt>
                <c:pt idx="36">
                  <c:v>1.9788668298200651</c:v>
                </c:pt>
                <c:pt idx="37">
                  <c:v>2.0306279273350598</c:v>
                </c:pt>
                <c:pt idx="38">
                  <c:v>2.0823890248500545</c:v>
                </c:pt>
                <c:pt idx="39">
                  <c:v>2.1341501223650492</c:v>
                </c:pt>
                <c:pt idx="40">
                  <c:v>2.1859112198800439</c:v>
                </c:pt>
                <c:pt idx="41">
                  <c:v>2.2376723173950386</c:v>
                </c:pt>
                <c:pt idx="42">
                  <c:v>2.2894334149100333</c:v>
                </c:pt>
                <c:pt idx="43">
                  <c:v>2.341194512425028</c:v>
                </c:pt>
                <c:pt idx="44">
                  <c:v>2.3929556099400227</c:v>
                </c:pt>
                <c:pt idx="45">
                  <c:v>2.4447167074550173</c:v>
                </c:pt>
                <c:pt idx="46">
                  <c:v>2.496477804970012</c:v>
                </c:pt>
                <c:pt idx="47">
                  <c:v>2.5482389024850067</c:v>
                </c:pt>
                <c:pt idx="48">
                  <c:v>2.6</c:v>
                </c:pt>
                <c:pt idx="49">
                  <c:v>2.62</c:v>
                </c:pt>
                <c:pt idx="50">
                  <c:v>2.64</c:v>
                </c:pt>
                <c:pt idx="51">
                  <c:v>2.66</c:v>
                </c:pt>
                <c:pt idx="52">
                  <c:v>2.68</c:v>
                </c:pt>
                <c:pt idx="53">
                  <c:v>2.7</c:v>
                </c:pt>
                <c:pt idx="54">
                  <c:v>2.72</c:v>
                </c:pt>
                <c:pt idx="55">
                  <c:v>2.74</c:v>
                </c:pt>
                <c:pt idx="56">
                  <c:v>2.7600000000000002</c:v>
                </c:pt>
                <c:pt idx="57">
                  <c:v>2.7800000000000002</c:v>
                </c:pt>
                <c:pt idx="58">
                  <c:v>2.8000000000000003</c:v>
                </c:pt>
                <c:pt idx="59">
                  <c:v>2.8200000000000003</c:v>
                </c:pt>
                <c:pt idx="60">
                  <c:v>2.8400000000000003</c:v>
                </c:pt>
                <c:pt idx="61">
                  <c:v>2.8600000000000003</c:v>
                </c:pt>
                <c:pt idx="62">
                  <c:v>2.8800000000000003</c:v>
                </c:pt>
                <c:pt idx="63">
                  <c:v>2.9000000000000004</c:v>
                </c:pt>
                <c:pt idx="64">
                  <c:v>2.9200000000000004</c:v>
                </c:pt>
                <c:pt idx="65">
                  <c:v>2.9400000000000004</c:v>
                </c:pt>
                <c:pt idx="66">
                  <c:v>2.9600000000000004</c:v>
                </c:pt>
                <c:pt idx="67">
                  <c:v>2.9800000000000004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  <c:pt idx="116">
                  <c:v>6.4</c:v>
                </c:pt>
                <c:pt idx="117">
                  <c:v>6.8</c:v>
                </c:pt>
                <c:pt idx="118">
                  <c:v>7.2</c:v>
                </c:pt>
                <c:pt idx="119">
                  <c:v>7.6</c:v>
                </c:pt>
                <c:pt idx="120">
                  <c:v>8</c:v>
                </c:pt>
                <c:pt idx="121">
                  <c:v>8.4</c:v>
                </c:pt>
                <c:pt idx="122">
                  <c:v>8.8000000000000007</c:v>
                </c:pt>
                <c:pt idx="123">
                  <c:v>9.1999999999999993</c:v>
                </c:pt>
                <c:pt idx="124">
                  <c:v>9.6</c:v>
                </c:pt>
                <c:pt idx="125">
                  <c:v>10</c:v>
                </c:pt>
              </c:numCache>
            </c:numRef>
          </c:xVal>
          <c:yVal>
            <c:numRef>
              <c:f>'Spettri y'!$AW$15:$AW$140</c:f>
              <c:numCache>
                <c:formatCode>0.0000</c:formatCode>
                <c:ptCount val="126"/>
                <c:pt idx="0">
                  <c:v>0.33462500000000001</c:v>
                </c:pt>
                <c:pt idx="1">
                  <c:v>0.33462500000000001</c:v>
                </c:pt>
                <c:pt idx="2">
                  <c:v>0.57053562499999999</c:v>
                </c:pt>
                <c:pt idx="3">
                  <c:v>0.80644625000000003</c:v>
                </c:pt>
                <c:pt idx="4">
                  <c:v>0.80644625000000003</c:v>
                </c:pt>
                <c:pt idx="5">
                  <c:v>0.80644625000000003</c:v>
                </c:pt>
                <c:pt idx="6">
                  <c:v>0.80644625000000003</c:v>
                </c:pt>
                <c:pt idx="7">
                  <c:v>0.80644625000000003</c:v>
                </c:pt>
                <c:pt idx="8">
                  <c:v>0.73463942369525503</c:v>
                </c:pt>
                <c:pt idx="9">
                  <c:v>0.67457458940414383</c:v>
                </c:pt>
                <c:pt idx="10">
                  <c:v>0.62358931969863107</c:v>
                </c:pt>
                <c:pt idx="11">
                  <c:v>0.57976954487078081</c:v>
                </c:pt>
                <c:pt idx="12">
                  <c:v>0.54170388002348402</c:v>
                </c:pt>
                <c:pt idx="13">
                  <c:v>0.50832876960712658</c:v>
                </c:pt>
                <c:pt idx="14">
                  <c:v>0.47882755482535694</c:v>
                </c:pt>
                <c:pt idx="15">
                  <c:v>0.45256275935400941</c:v>
                </c:pt>
                <c:pt idx="16">
                  <c:v>0.42902950191029776</c:v>
                </c:pt>
                <c:pt idx="17">
                  <c:v>0.40782272562321081</c:v>
                </c:pt>
                <c:pt idx="18">
                  <c:v>0.38861368866664225</c:v>
                </c:pt>
                <c:pt idx="19">
                  <c:v>0.37113279997974657</c:v>
                </c:pt>
                <c:pt idx="20">
                  <c:v>0.35515688814467239</c:v>
                </c:pt>
                <c:pt idx="21">
                  <c:v>0.34049962273202306</c:v>
                </c:pt>
                <c:pt idx="22">
                  <c:v>0.3270042134966471</c:v>
                </c:pt>
                <c:pt idx="23">
                  <c:v>0.31453777955178902</c:v>
                </c:pt>
                <c:pt idx="24">
                  <c:v>0.30298695923345687</c:v>
                </c:pt>
                <c:pt idx="25">
                  <c:v>0.29225445301797609</c:v>
                </c:pt>
                <c:pt idx="26">
                  <c:v>0.28225627605108372</c:v>
                </c:pt>
                <c:pt idx="27">
                  <c:v>0.2729195559765023</c:v>
                </c:pt>
                <c:pt idx="28">
                  <c:v>0.2729195559765023</c:v>
                </c:pt>
                <c:pt idx="29">
                  <c:v>0.26418075384171613</c:v>
                </c:pt>
                <c:pt idx="30">
                  <c:v>0.25598421619546158</c:v>
                </c:pt>
                <c:pt idx="31">
                  <c:v>0.24828098861202069</c:v>
                </c:pt>
                <c:pt idx="32">
                  <c:v>0.24102783718201271</c:v>
                </c:pt>
                <c:pt idx="33">
                  <c:v>0.23418643664883579</c:v>
                </c:pt>
                <c:pt idx="34">
                  <c:v>0.2277226929938321</c:v>
                </c:pt>
                <c:pt idx="35">
                  <c:v>0.22160617519159823</c:v>
                </c:pt>
                <c:pt idx="36">
                  <c:v>0.21580963614654267</c:v>
                </c:pt>
                <c:pt idx="37">
                  <c:v>0.2103086068979611</c:v>
                </c:pt>
                <c:pt idx="38">
                  <c:v>0.20508105134518831</c:v>
                </c:pt>
                <c:pt idx="39">
                  <c:v>0.20010707121796453</c:v>
                </c:pt>
                <c:pt idx="40">
                  <c:v>0.19536865296357567</c:v>
                </c:pt>
                <c:pt idx="41">
                  <c:v>0.19084944976353199</c:v>
                </c:pt>
                <c:pt idx="42">
                  <c:v>0.18653459312015525</c:v>
                </c:pt>
                <c:pt idx="43">
                  <c:v>0.18241052943677882</c:v>
                </c:pt>
                <c:pt idx="44">
                  <c:v>0.17846487780717105</c:v>
                </c:pt>
                <c:pt idx="45">
                  <c:v>0.17468630587079526</c:v>
                </c:pt>
                <c:pt idx="46">
                  <c:v>0.1710644211119115</c:v>
                </c:pt>
                <c:pt idx="47">
                  <c:v>0.16758967540659911</c:v>
                </c:pt>
                <c:pt idx="48">
                  <c:v>0.16425328097151176</c:v>
                </c:pt>
                <c:pt idx="49">
                  <c:v>0.16175516860430911</c:v>
                </c:pt>
                <c:pt idx="50">
                  <c:v>0.15931361618563755</c:v>
                </c:pt>
                <c:pt idx="51">
                  <c:v>0.15692692907561473</c:v>
                </c:pt>
                <c:pt idx="52">
                  <c:v>0.15459347563034911</c:v>
                </c:pt>
                <c:pt idx="53">
                  <c:v>0.15231168441254039</c:v>
                </c:pt>
                <c:pt idx="54">
                  <c:v>0.15008004154512047</c:v>
                </c:pt>
                <c:pt idx="55">
                  <c:v>0.14789708819961364</c:v>
                </c:pt>
                <c:pt idx="56">
                  <c:v>0.14576141821143396</c:v>
                </c:pt>
                <c:pt idx="57">
                  <c:v>0.14367167581484128</c:v>
                </c:pt>
                <c:pt idx="58">
                  <c:v>0.14162655349074227</c:v>
                </c:pt>
                <c:pt idx="59">
                  <c:v>0.13962478992095712</c:v>
                </c:pt>
                <c:pt idx="60">
                  <c:v>0.13766516804297502</c:v>
                </c:pt>
                <c:pt idx="61">
                  <c:v>0.13574651319959646</c:v>
                </c:pt>
                <c:pt idx="62">
                  <c:v>0.13386769137820934</c:v>
                </c:pt>
                <c:pt idx="63">
                  <c:v>0.13202760753477044</c:v>
                </c:pt>
                <c:pt idx="64">
                  <c:v>0.13022520399786772</c:v>
                </c:pt>
                <c:pt idx="65">
                  <c:v>0.12845945894851904</c:v>
                </c:pt>
                <c:pt idx="66">
                  <c:v>0.12672938497162839</c:v>
                </c:pt>
                <c:pt idx="67">
                  <c:v>0.12503402767526453</c:v>
                </c:pt>
                <c:pt idx="68">
                  <c:v>0.12337246437415773</c:v>
                </c:pt>
                <c:pt idx="69">
                  <c:v>0.12337246437415773</c:v>
                </c:pt>
                <c:pt idx="70">
                  <c:v>0.12337246437415773</c:v>
                </c:pt>
                <c:pt idx="71">
                  <c:v>0.12337246437415773</c:v>
                </c:pt>
                <c:pt idx="72">
                  <c:v>0.12337246437415773</c:v>
                </c:pt>
                <c:pt idx="73">
                  <c:v>0.12337246437415773</c:v>
                </c:pt>
                <c:pt idx="74">
                  <c:v>0.12337246437415773</c:v>
                </c:pt>
                <c:pt idx="75">
                  <c:v>0.12337246437415773</c:v>
                </c:pt>
                <c:pt idx="76">
                  <c:v>0.12337246437415773</c:v>
                </c:pt>
                <c:pt idx="77">
                  <c:v>0.12337246437415773</c:v>
                </c:pt>
                <c:pt idx="78">
                  <c:v>0.12337246437415773</c:v>
                </c:pt>
                <c:pt idx="79">
                  <c:v>0.12337246437415773</c:v>
                </c:pt>
                <c:pt idx="80">
                  <c:v>0.12337246437415773</c:v>
                </c:pt>
                <c:pt idx="81">
                  <c:v>0.12337246437415773</c:v>
                </c:pt>
                <c:pt idx="82">
                  <c:v>0.12337246437415773</c:v>
                </c:pt>
                <c:pt idx="83">
                  <c:v>0.12337246437415773</c:v>
                </c:pt>
                <c:pt idx="84">
                  <c:v>0.12337246437415773</c:v>
                </c:pt>
                <c:pt idx="85">
                  <c:v>0.12337246437415773</c:v>
                </c:pt>
                <c:pt idx="86">
                  <c:v>0.12337246437415773</c:v>
                </c:pt>
                <c:pt idx="87">
                  <c:v>0.12337246437415773</c:v>
                </c:pt>
                <c:pt idx="88">
                  <c:v>0.12337246437415773</c:v>
                </c:pt>
                <c:pt idx="89">
                  <c:v>0.12337246437415773</c:v>
                </c:pt>
                <c:pt idx="90">
                  <c:v>0.11440299851430813</c:v>
                </c:pt>
                <c:pt idx="91">
                  <c:v>0.10637727795526865</c:v>
                </c:pt>
                <c:pt idx="92">
                  <c:v>9.9167402992783135E-2</c:v>
                </c:pt>
                <c:pt idx="93">
                  <c:v>9.2666428796589581E-2</c:v>
                </c:pt>
                <c:pt idx="94">
                  <c:v>8.6784376604506358E-2</c:v>
                </c:pt>
                <c:pt idx="95">
                  <c:v>8.144510343450255E-2</c:v>
                </c:pt>
                <c:pt idx="96">
                  <c:v>7.6583825451726928E-2</c:v>
                </c:pt>
                <c:pt idx="97">
                  <c:v>7.2145143526756592E-2</c:v>
                </c:pt>
                <c:pt idx="98">
                  <c:v>6.8081457891371946E-2</c:v>
                </c:pt>
                <c:pt idx="99">
                  <c:v>6.435168666429833E-2</c:v>
                </c:pt>
                <c:pt idx="100">
                  <c:v>6.0920223460139269E-2</c:v>
                </c:pt>
                <c:pt idx="101">
                  <c:v>5.7756084430007397E-2</c:v>
                </c:pt>
                <c:pt idx="102">
                  <c:v>5.4832206388514583E-2</c:v>
                </c:pt>
                <c:pt idx="103">
                  <c:v>5.2124866198081689E-2</c:v>
                </c:pt>
                <c:pt idx="104">
                  <c:v>4.9613198046954618E-2</c:v>
                </c:pt>
                <c:pt idx="105">
                  <c:v>4.7278790202341686E-2</c:v>
                </c:pt>
                <c:pt idx="106">
                  <c:v>4.5105346628951187E-2</c:v>
                </c:pt>
                <c:pt idx="107">
                  <c:v>4.3078401816596459E-2</c:v>
                </c:pt>
                <c:pt idx="108">
                  <c:v>4.1185079465150994E-2</c:v>
                </c:pt>
                <c:pt idx="109">
                  <c:v>3.9413887484371822E-2</c:v>
                </c:pt>
                <c:pt idx="110">
                  <c:v>3.7754543194626879E-2</c:v>
                </c:pt>
                <c:pt idx="111">
                  <c:v>3.6197823748667875E-2</c:v>
                </c:pt>
                <c:pt idx="112">
                  <c:v>3.4735437699679635E-2</c:v>
                </c:pt>
                <c:pt idx="113">
                  <c:v>3.3359914366772325E-2</c:v>
                </c:pt>
                <c:pt idx="114">
                  <c:v>3.2064508234114115E-2</c:v>
                </c:pt>
                <c:pt idx="115">
                  <c:v>3.0843116093539433E-2</c:v>
                </c:pt>
                <c:pt idx="116">
                  <c:v>2.5522208641815061E-2</c:v>
                </c:pt>
                <c:pt idx="117">
                  <c:v>2.1203009354889061E-2</c:v>
                </c:pt>
                <c:pt idx="118">
                  <c:v>1.7659425909942045E-2</c:v>
                </c:pt>
                <c:pt idx="119">
                  <c:v>1.4724759795234082E-2</c:v>
                </c:pt>
                <c:pt idx="120">
                  <c:v>1.2274056443344466E-2</c:v>
                </c:pt>
                <c:pt idx="121">
                  <c:v>1.0212260473006959E-2</c:v>
                </c:pt>
                <c:pt idx="122">
                  <c:v>8.4660974377156022E-3</c:v>
                </c:pt>
                <c:pt idx="123">
                  <c:v>6.9784034992677428E-3</c:v>
                </c:pt>
                <c:pt idx="124">
                  <c:v>5.7040967749495113E-3</c:v>
                </c:pt>
                <c:pt idx="125">
                  <c:v>4.6072704538067197E-3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E6E-49A3-AFDA-61F7668B17DE}"/>
            </c:ext>
          </c:extLst>
        </c:ser>
        <c:ser>
          <c:idx val="2"/>
          <c:order val="3"/>
          <c:tx>
            <c:v>SLD</c:v>
          </c:tx>
          <c:spPr>
            <a:ln w="12700">
              <a:solidFill>
                <a:prstClr val="black"/>
              </a:solidFill>
            </a:ln>
          </c:spPr>
          <c:marker>
            <c:symbol val="none"/>
          </c:marker>
          <c:xVal>
            <c:numRef>
              <c:f>'Spettri y'!$AQ$15:$AQ$140</c:f>
              <c:numCache>
                <c:formatCode>0.000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7.6708688772966063E-2</c:v>
                </c:pt>
                <c:pt idx="3">
                  <c:v>0.15341737754593213</c:v>
                </c:pt>
                <c:pt idx="4">
                  <c:v>0.23012606631889818</c:v>
                </c:pt>
                <c:pt idx="5">
                  <c:v>0.3068347550918642</c:v>
                </c:pt>
                <c:pt idx="6">
                  <c:v>0.38354344386483025</c:v>
                </c:pt>
                <c:pt idx="7">
                  <c:v>0.46025213263779635</c:v>
                </c:pt>
                <c:pt idx="8">
                  <c:v>0.49694582932185144</c:v>
                </c:pt>
                <c:pt idx="9">
                  <c:v>0.53363952600590658</c:v>
                </c:pt>
                <c:pt idx="10">
                  <c:v>0.57033322268996167</c:v>
                </c:pt>
                <c:pt idx="11">
                  <c:v>0.60702691937401676</c:v>
                </c:pt>
                <c:pt idx="12">
                  <c:v>0.64372061605807185</c:v>
                </c:pt>
                <c:pt idx="13">
                  <c:v>0.68041431274212694</c:v>
                </c:pt>
                <c:pt idx="14">
                  <c:v>0.71710800942618202</c:v>
                </c:pt>
                <c:pt idx="15">
                  <c:v>0.75380170611023711</c:v>
                </c:pt>
                <c:pt idx="16">
                  <c:v>0.7904954027942922</c:v>
                </c:pt>
                <c:pt idx="17">
                  <c:v>0.82718909947834729</c:v>
                </c:pt>
                <c:pt idx="18">
                  <c:v>0.86388279616240238</c:v>
                </c:pt>
                <c:pt idx="19">
                  <c:v>0.90057649284645747</c:v>
                </c:pt>
                <c:pt idx="20">
                  <c:v>0.93727018953051255</c:v>
                </c:pt>
                <c:pt idx="21">
                  <c:v>0.97396388621456764</c:v>
                </c:pt>
                <c:pt idx="22">
                  <c:v>1.0106575828986228</c:v>
                </c:pt>
                <c:pt idx="23">
                  <c:v>1.0473512795826778</c:v>
                </c:pt>
                <c:pt idx="24">
                  <c:v>1.0840449762667328</c:v>
                </c:pt>
                <c:pt idx="25">
                  <c:v>1.1207386729507878</c:v>
                </c:pt>
                <c:pt idx="26">
                  <c:v>1.1574323696348428</c:v>
                </c:pt>
                <c:pt idx="27">
                  <c:v>1.1941260663188982</c:v>
                </c:pt>
                <c:pt idx="28">
                  <c:v>1.1941260663188982</c:v>
                </c:pt>
                <c:pt idx="29">
                  <c:v>1.2308197630029534</c:v>
                </c:pt>
                <c:pt idx="30">
                  <c:v>1.2675134596870086</c:v>
                </c:pt>
                <c:pt idx="31">
                  <c:v>1.3042071563710638</c:v>
                </c:pt>
                <c:pt idx="32">
                  <c:v>1.340900853055119</c:v>
                </c:pt>
                <c:pt idx="33">
                  <c:v>1.3775945497391742</c:v>
                </c:pt>
                <c:pt idx="34">
                  <c:v>1.4142882464232294</c:v>
                </c:pt>
                <c:pt idx="35">
                  <c:v>1.4509819431072846</c:v>
                </c:pt>
                <c:pt idx="36">
                  <c:v>1.4876756397913398</c:v>
                </c:pt>
                <c:pt idx="37">
                  <c:v>1.524369336475395</c:v>
                </c:pt>
                <c:pt idx="38">
                  <c:v>1.5610630331594502</c:v>
                </c:pt>
                <c:pt idx="39">
                  <c:v>1.5977567298435054</c:v>
                </c:pt>
                <c:pt idx="40">
                  <c:v>1.6344504265275606</c:v>
                </c:pt>
                <c:pt idx="41">
                  <c:v>1.6711441232116158</c:v>
                </c:pt>
                <c:pt idx="42">
                  <c:v>1.707837819895671</c:v>
                </c:pt>
                <c:pt idx="43">
                  <c:v>1.7445315165797262</c:v>
                </c:pt>
                <c:pt idx="44">
                  <c:v>1.7812252132637814</c:v>
                </c:pt>
                <c:pt idx="45">
                  <c:v>1.8179189099478366</c:v>
                </c:pt>
                <c:pt idx="46">
                  <c:v>1.8546126066318918</c:v>
                </c:pt>
                <c:pt idx="47">
                  <c:v>1.891306303315947</c:v>
                </c:pt>
                <c:pt idx="48">
                  <c:v>1.9280000000000002</c:v>
                </c:pt>
                <c:pt idx="49">
                  <c:v>1.9816000000000003</c:v>
                </c:pt>
                <c:pt idx="50">
                  <c:v>2.0352000000000001</c:v>
                </c:pt>
                <c:pt idx="51">
                  <c:v>2.0888</c:v>
                </c:pt>
                <c:pt idx="52">
                  <c:v>2.1423999999999999</c:v>
                </c:pt>
                <c:pt idx="53">
                  <c:v>2.1959999999999997</c:v>
                </c:pt>
                <c:pt idx="54">
                  <c:v>2.2495999999999996</c:v>
                </c:pt>
                <c:pt idx="55">
                  <c:v>2.3031999999999995</c:v>
                </c:pt>
                <c:pt idx="56">
                  <c:v>2.3567999999999993</c:v>
                </c:pt>
                <c:pt idx="57">
                  <c:v>2.4103999999999992</c:v>
                </c:pt>
                <c:pt idx="58">
                  <c:v>2.4639999999999991</c:v>
                </c:pt>
                <c:pt idx="59">
                  <c:v>2.5175999999999989</c:v>
                </c:pt>
                <c:pt idx="60">
                  <c:v>2.5711999999999988</c:v>
                </c:pt>
                <c:pt idx="61">
                  <c:v>2.6247999999999987</c:v>
                </c:pt>
                <c:pt idx="62">
                  <c:v>2.6783999999999986</c:v>
                </c:pt>
                <c:pt idx="63">
                  <c:v>2.7319999999999984</c:v>
                </c:pt>
                <c:pt idx="64">
                  <c:v>2.7855999999999983</c:v>
                </c:pt>
                <c:pt idx="65">
                  <c:v>2.8391999999999982</c:v>
                </c:pt>
                <c:pt idx="66">
                  <c:v>2.892799999999998</c:v>
                </c:pt>
                <c:pt idx="67">
                  <c:v>2.9463999999999979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  <c:pt idx="116">
                  <c:v>6.4</c:v>
                </c:pt>
                <c:pt idx="117">
                  <c:v>6.8</c:v>
                </c:pt>
                <c:pt idx="118">
                  <c:v>7.2</c:v>
                </c:pt>
                <c:pt idx="119">
                  <c:v>7.6</c:v>
                </c:pt>
                <c:pt idx="120">
                  <c:v>8</c:v>
                </c:pt>
                <c:pt idx="121">
                  <c:v>8.4</c:v>
                </c:pt>
                <c:pt idx="122">
                  <c:v>8.8000000000000007</c:v>
                </c:pt>
                <c:pt idx="123">
                  <c:v>9.1999999999999993</c:v>
                </c:pt>
                <c:pt idx="124">
                  <c:v>9.6</c:v>
                </c:pt>
                <c:pt idx="125">
                  <c:v>10</c:v>
                </c:pt>
              </c:numCache>
            </c:numRef>
          </c:xVal>
          <c:yVal>
            <c:numRef>
              <c:f>'Spettri y'!$AS$15:$AS$140</c:f>
              <c:numCache>
                <c:formatCode>0.0000</c:formatCode>
                <c:ptCount val="126"/>
                <c:pt idx="0">
                  <c:v>0.123</c:v>
                </c:pt>
                <c:pt idx="1">
                  <c:v>0.123</c:v>
                </c:pt>
                <c:pt idx="2">
                  <c:v>0.20393399999999998</c:v>
                </c:pt>
                <c:pt idx="3">
                  <c:v>0.28486799999999995</c:v>
                </c:pt>
                <c:pt idx="4">
                  <c:v>0.28486799999999995</c:v>
                </c:pt>
                <c:pt idx="5">
                  <c:v>0.28486799999999995</c:v>
                </c:pt>
                <c:pt idx="6">
                  <c:v>0.28486799999999995</c:v>
                </c:pt>
                <c:pt idx="7">
                  <c:v>0.28486799999999995</c:v>
                </c:pt>
                <c:pt idx="8">
                  <c:v>0.2638337959273796</c:v>
                </c:pt>
                <c:pt idx="9">
                  <c:v>0.24569226627866497</c:v>
                </c:pt>
                <c:pt idx="10">
                  <c:v>0.22988509051231781</c:v>
                </c:pt>
                <c:pt idx="11">
                  <c:v>0.21598894601819177</c:v>
                </c:pt>
                <c:pt idx="12">
                  <c:v>0.2036770320067485</c:v>
                </c:pt>
                <c:pt idx="13">
                  <c:v>0.1926930431428977</c:v>
                </c:pt>
                <c:pt idx="14">
                  <c:v>0.18283313363795323</c:v>
                </c:pt>
                <c:pt idx="15">
                  <c:v>0.17393314907288079</c:v>
                </c:pt>
                <c:pt idx="16">
                  <c:v>0.16585941430753942</c:v>
                </c:pt>
                <c:pt idx="17">
                  <c:v>0.15850197325248452</c:v>
                </c:pt>
                <c:pt idx="18">
                  <c:v>0.15176955149783539</c:v>
                </c:pt>
                <c:pt idx="19">
                  <c:v>0.14558575041844599</c:v>
                </c:pt>
                <c:pt idx="20">
                  <c:v>0.13988613527326474</c:v>
                </c:pt>
                <c:pt idx="21">
                  <c:v>0.13461598153278911</c:v>
                </c:pt>
                <c:pt idx="22">
                  <c:v>0.12972851214773429</c:v>
                </c:pt>
                <c:pt idx="23">
                  <c:v>0.12518350535887598</c:v>
                </c:pt>
                <c:pt idx="24">
                  <c:v>0.12094618525126899</c:v>
                </c:pt>
                <c:pt idx="25">
                  <c:v>0.11698633025222724</c:v>
                </c:pt>
                <c:pt idx="26">
                  <c:v>0.11327755120727086</c:v>
                </c:pt>
                <c:pt idx="27">
                  <c:v>0.10979670255791049</c:v>
                </c:pt>
                <c:pt idx="28">
                  <c:v>0.10979670255791049</c:v>
                </c:pt>
                <c:pt idx="29">
                  <c:v>0.10652339884466833</c:v>
                </c:pt>
                <c:pt idx="30">
                  <c:v>0.10343961519165207</c:v>
                </c:pt>
                <c:pt idx="31">
                  <c:v>0.1005293552330125</c:v>
                </c:pt>
                <c:pt idx="32">
                  <c:v>9.7778373562474208E-2</c:v>
                </c:pt>
                <c:pt idx="33">
                  <c:v>9.5173942539978532E-2</c:v>
                </c:pt>
                <c:pt idx="34">
                  <c:v>9.2704655399524841E-2</c:v>
                </c:pt>
                <c:pt idx="35">
                  <c:v>9.0360259232095411E-2</c:v>
                </c:pt>
                <c:pt idx="36">
                  <c:v>8.813151268555644E-2</c:v>
                </c:pt>
                <c:pt idx="37">
                  <c:v>8.6010064216730617E-2</c:v>
                </c:pt>
                <c:pt idx="38">
                  <c:v>8.3988347514005732E-2</c:v>
                </c:pt>
                <c:pt idx="39">
                  <c:v>8.2059491330138609E-2</c:v>
                </c:pt>
                <c:pt idx="40">
                  <c:v>8.0217241460674507E-2</c:v>
                </c:pt>
                <c:pt idx="41">
                  <c:v>7.8455893001193447E-2</c:v>
                </c:pt>
                <c:pt idx="42">
                  <c:v>7.6770231337465702E-2</c:v>
                </c:pt>
                <c:pt idx="43">
                  <c:v>7.5155480582727488E-2</c:v>
                </c:pt>
                <c:pt idx="44">
                  <c:v>7.360725838818874E-2</c:v>
                </c:pt>
                <c:pt idx="45">
                  <c:v>7.2121536226291777E-2</c:v>
                </c:pt>
                <c:pt idx="46">
                  <c:v>7.0694604388768192E-2</c:v>
                </c:pt>
                <c:pt idx="47">
                  <c:v>6.9323041059183396E-2</c:v>
                </c:pt>
                <c:pt idx="48">
                  <c:v>6.800368491714924E-2</c:v>
                </c:pt>
                <c:pt idx="49">
                  <c:v>6.4374596284573746E-2</c:v>
                </c:pt>
                <c:pt idx="50">
                  <c:v>6.1028446876992382E-2</c:v>
                </c:pt>
                <c:pt idx="51">
                  <c:v>5.7936571032417949E-2</c:v>
                </c:pt>
                <c:pt idx="52">
                  <c:v>5.5073843516710248E-2</c:v>
                </c:pt>
                <c:pt idx="53">
                  <c:v>5.241816747353787E-2</c:v>
                </c:pt>
                <c:pt idx="54">
                  <c:v>4.9950046737222351E-2</c:v>
                </c:pt>
                <c:pt idx="55">
                  <c:v>4.7652226989598742E-2</c:v>
                </c:pt>
                <c:pt idx="56">
                  <c:v>4.5509393381304164E-2</c:v>
                </c:pt>
                <c:pt idx="57">
                  <c:v>4.3507914687124109E-2</c:v>
                </c:pt>
                <c:pt idx="58">
                  <c:v>4.1635625987444642E-2</c:v>
                </c:pt>
                <c:pt idx="59">
                  <c:v>3.9881643385486533E-2</c:v>
                </c:pt>
                <c:pt idx="60">
                  <c:v>3.8236205474657475E-2</c:v>
                </c:pt>
                <c:pt idx="61">
                  <c:v>3.6690537231606778E-2</c:v>
                </c:pt>
                <c:pt idx="62">
                  <c:v>3.5236732781433286E-2</c:v>
                </c:pt>
                <c:pt idx="63">
                  <c:v>3.3867654102651509E-2</c:v>
                </c:pt>
                <c:pt idx="64">
                  <c:v>3.2576843242336236E-2</c:v>
                </c:pt>
                <c:pt idx="65">
                  <c:v>3.135844602067811E-2</c:v>
                </c:pt>
                <c:pt idx="66">
                  <c:v>3.0207145537967862E-2</c:v>
                </c:pt>
                <c:pt idx="67">
                  <c:v>2.9118104070657964E-2</c:v>
                </c:pt>
                <c:pt idx="68">
                  <c:v>2.8086912168340947E-2</c:v>
                </c:pt>
                <c:pt idx="69">
                  <c:v>2.8086912168340947E-2</c:v>
                </c:pt>
                <c:pt idx="70">
                  <c:v>2.8086912168340947E-2</c:v>
                </c:pt>
                <c:pt idx="71">
                  <c:v>2.8086912168340947E-2</c:v>
                </c:pt>
                <c:pt idx="72">
                  <c:v>2.8086912168340947E-2</c:v>
                </c:pt>
                <c:pt idx="73">
                  <c:v>2.8086912168340947E-2</c:v>
                </c:pt>
                <c:pt idx="74">
                  <c:v>2.8086912168340947E-2</c:v>
                </c:pt>
                <c:pt idx="75">
                  <c:v>2.8086912168340947E-2</c:v>
                </c:pt>
                <c:pt idx="76">
                  <c:v>2.8086912168340947E-2</c:v>
                </c:pt>
                <c:pt idx="77">
                  <c:v>2.8086912168340947E-2</c:v>
                </c:pt>
                <c:pt idx="78">
                  <c:v>2.8086912168340947E-2</c:v>
                </c:pt>
                <c:pt idx="79">
                  <c:v>2.8086912168340947E-2</c:v>
                </c:pt>
                <c:pt idx="80">
                  <c:v>2.8086912168340947E-2</c:v>
                </c:pt>
                <c:pt idx="81">
                  <c:v>2.8086912168340947E-2</c:v>
                </c:pt>
                <c:pt idx="82">
                  <c:v>2.8086912168340947E-2</c:v>
                </c:pt>
                <c:pt idx="83">
                  <c:v>2.8086912168340947E-2</c:v>
                </c:pt>
                <c:pt idx="84">
                  <c:v>2.8086912168340947E-2</c:v>
                </c:pt>
                <c:pt idx="85">
                  <c:v>2.8086912168340947E-2</c:v>
                </c:pt>
                <c:pt idx="86">
                  <c:v>2.8086912168340947E-2</c:v>
                </c:pt>
                <c:pt idx="87">
                  <c:v>2.8086912168340947E-2</c:v>
                </c:pt>
                <c:pt idx="88">
                  <c:v>2.8086912168340947E-2</c:v>
                </c:pt>
                <c:pt idx="89">
                  <c:v>2.8086912168340947E-2</c:v>
                </c:pt>
                <c:pt idx="90">
                  <c:v>2.6044928156102168E-2</c:v>
                </c:pt>
                <c:pt idx="91">
                  <c:v>2.4217796716579691E-2</c:v>
                </c:pt>
                <c:pt idx="92">
                  <c:v>2.2576400268488082E-2</c:v>
                </c:pt>
                <c:pt idx="93">
                  <c:v>2.1096391806442755E-2</c:v>
                </c:pt>
                <c:pt idx="94">
                  <c:v>1.9757286811444827E-2</c:v>
                </c:pt>
                <c:pt idx="95">
                  <c:v>1.8541750611131325E-2</c:v>
                </c:pt>
                <c:pt idx="96">
                  <c:v>1.7435034550779136E-2</c:v>
                </c:pt>
                <c:pt idx="97">
                  <c:v>1.6424526492905257E-2</c:v>
                </c:pt>
                <c:pt idx="98">
                  <c:v>1.5499389898611006E-2</c:v>
                </c:pt>
                <c:pt idx="99">
                  <c:v>1.4650272087807472E-2</c:v>
                </c:pt>
                <c:pt idx="100">
                  <c:v>1.3869066928998166E-2</c:v>
                </c:pt>
                <c:pt idx="101">
                  <c:v>1.3148720654985105E-2</c:v>
                </c:pt>
                <c:pt idx="102">
                  <c:v>1.2483072074818207E-2</c:v>
                </c:pt>
                <c:pt idx="103">
                  <c:v>1.1866720391124061E-2</c:v>
                </c:pt>
                <c:pt idx="104">
                  <c:v>1.1294915303865853E-2</c:v>
                </c:pt>
                <c:pt idx="105">
                  <c:v>1.0763465207368766E-2</c:v>
                </c:pt>
                <c:pt idx="106">
                  <c:v>1.026866015456923E-2</c:v>
                </c:pt>
                <c:pt idx="107">
                  <c:v>9.8072069348132795E-3</c:v>
                </c:pt>
                <c:pt idx="108">
                  <c:v>9.3761741361967962E-3</c:v>
                </c:pt>
                <c:pt idx="109">
                  <c:v>8.9729454753301099E-3</c:v>
                </c:pt>
                <c:pt idx="110">
                  <c:v>8.5951800026249497E-3</c:v>
                </c:pt>
                <c:pt idx="111">
                  <c:v>8.2407780493917171E-3</c:v>
                </c:pt>
                <c:pt idx="112">
                  <c:v>7.9078519890872639E-3</c:v>
                </c:pt>
                <c:pt idx="113">
                  <c:v>7.5947010503194089E-3</c:v>
                </c:pt>
                <c:pt idx="114">
                  <c:v>7.299789552402354E-3</c:v>
                </c:pt>
                <c:pt idx="115">
                  <c:v>7.0217280420852369E-3</c:v>
                </c:pt>
                <c:pt idx="116">
                  <c:v>5.8207663998483252E-3</c:v>
                </c:pt>
                <c:pt idx="117">
                  <c:v>4.84547954066839E-3</c:v>
                </c:pt>
                <c:pt idx="118">
                  <c:v>4.0449721485961649E-3</c:v>
                </c:pt>
                <c:pt idx="119">
                  <c:v>3.3817129225405841E-3</c:v>
                </c:pt>
                <c:pt idx="120">
                  <c:v>2.8275643848228601E-3</c:v>
                </c:pt>
                <c:pt idx="121">
                  <c:v>2.3611182376896528E-3</c:v>
                </c:pt>
                <c:pt idx="122">
                  <c:v>1.9658688671758888E-3</c:v>
                </c:pt>
                <c:pt idx="123">
                  <c:v>1.6289374680626158E-3</c:v>
                </c:pt>
                <c:pt idx="124">
                  <c:v>1.3401654678769389E-3</c:v>
                </c:pt>
                <c:pt idx="125">
                  <c:v>1.0914603174225755E-3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E6E-49A3-AFDA-61F7668B17DE}"/>
            </c:ext>
          </c:extLst>
        </c:ser>
        <c:ser>
          <c:idx val="3"/>
          <c:order val="4"/>
          <c:tx>
            <c:v>SLO</c:v>
          </c:tx>
          <c:spPr>
            <a:ln w="1270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xVal>
            <c:numRef>
              <c:f>'Spettri y'!$AM$15:$AM$140</c:f>
              <c:numCache>
                <c:formatCode>0.000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7.4581983584264488E-2</c:v>
                </c:pt>
                <c:pt idx="3">
                  <c:v>0.14916396716852898</c:v>
                </c:pt>
                <c:pt idx="4">
                  <c:v>0.22374595075279347</c:v>
                </c:pt>
                <c:pt idx="5">
                  <c:v>0.29832793433705795</c:v>
                </c:pt>
                <c:pt idx="6">
                  <c:v>0.37290991792132244</c:v>
                </c:pt>
                <c:pt idx="7">
                  <c:v>0.44749190150558693</c:v>
                </c:pt>
                <c:pt idx="8">
                  <c:v>0.48240460396794727</c:v>
                </c:pt>
                <c:pt idx="9">
                  <c:v>0.5173173064303076</c:v>
                </c:pt>
                <c:pt idx="10">
                  <c:v>0.55223000889266793</c:v>
                </c:pt>
                <c:pt idx="11">
                  <c:v>0.58714271135502827</c:v>
                </c:pt>
                <c:pt idx="12">
                  <c:v>0.6220554138173886</c:v>
                </c:pt>
                <c:pt idx="13">
                  <c:v>0.65696811627974894</c:v>
                </c:pt>
                <c:pt idx="14">
                  <c:v>0.69188081874210927</c:v>
                </c:pt>
                <c:pt idx="15">
                  <c:v>0.72679352120446961</c:v>
                </c:pt>
                <c:pt idx="16">
                  <c:v>0.76170622366682994</c:v>
                </c:pt>
                <c:pt idx="17">
                  <c:v>0.79661892612919027</c:v>
                </c:pt>
                <c:pt idx="18">
                  <c:v>0.83153162859155061</c:v>
                </c:pt>
                <c:pt idx="19">
                  <c:v>0.86644433105391094</c:v>
                </c:pt>
                <c:pt idx="20">
                  <c:v>0.90135703351627128</c:v>
                </c:pt>
                <c:pt idx="21">
                  <c:v>0.93626973597863161</c:v>
                </c:pt>
                <c:pt idx="22">
                  <c:v>0.97118243844099195</c:v>
                </c:pt>
                <c:pt idx="23">
                  <c:v>1.0060951409033523</c:v>
                </c:pt>
                <c:pt idx="24">
                  <c:v>1.0410078433657126</c:v>
                </c:pt>
                <c:pt idx="25">
                  <c:v>1.0759205458280729</c:v>
                </c:pt>
                <c:pt idx="26">
                  <c:v>1.1108332482904333</c:v>
                </c:pt>
                <c:pt idx="27">
                  <c:v>1.1457459507527936</c:v>
                </c:pt>
                <c:pt idx="28">
                  <c:v>1.1457459507527936</c:v>
                </c:pt>
                <c:pt idx="29">
                  <c:v>1.180658653215154</c:v>
                </c:pt>
                <c:pt idx="30">
                  <c:v>1.2155713556775143</c:v>
                </c:pt>
                <c:pt idx="31">
                  <c:v>1.2504840581398746</c:v>
                </c:pt>
                <c:pt idx="32">
                  <c:v>1.285396760602235</c:v>
                </c:pt>
                <c:pt idx="33">
                  <c:v>1.3203094630645953</c:v>
                </c:pt>
                <c:pt idx="34">
                  <c:v>1.3552221655269556</c:v>
                </c:pt>
                <c:pt idx="35">
                  <c:v>1.390134867989316</c:v>
                </c:pt>
                <c:pt idx="36">
                  <c:v>1.4250475704516763</c:v>
                </c:pt>
                <c:pt idx="37">
                  <c:v>1.4599602729140366</c:v>
                </c:pt>
                <c:pt idx="38">
                  <c:v>1.494872975376397</c:v>
                </c:pt>
                <c:pt idx="39">
                  <c:v>1.5297856778387573</c:v>
                </c:pt>
                <c:pt idx="40">
                  <c:v>1.5646983803011176</c:v>
                </c:pt>
                <c:pt idx="41">
                  <c:v>1.599611082763478</c:v>
                </c:pt>
                <c:pt idx="42">
                  <c:v>1.6345237852258383</c:v>
                </c:pt>
                <c:pt idx="43">
                  <c:v>1.6694364876881986</c:v>
                </c:pt>
                <c:pt idx="44">
                  <c:v>1.704349190150559</c:v>
                </c:pt>
                <c:pt idx="45">
                  <c:v>1.7392618926129193</c:v>
                </c:pt>
                <c:pt idx="46">
                  <c:v>1.7741745950752796</c:v>
                </c:pt>
                <c:pt idx="47">
                  <c:v>1.80908729753764</c:v>
                </c:pt>
                <c:pt idx="48">
                  <c:v>1.8440000000000001</c:v>
                </c:pt>
                <c:pt idx="49">
                  <c:v>1.8729</c:v>
                </c:pt>
                <c:pt idx="50">
                  <c:v>1.9017999999999999</c:v>
                </c:pt>
                <c:pt idx="51">
                  <c:v>1.9306999999999999</c:v>
                </c:pt>
                <c:pt idx="52">
                  <c:v>1.9595999999999998</c:v>
                </c:pt>
                <c:pt idx="53">
                  <c:v>1.9884999999999997</c:v>
                </c:pt>
                <c:pt idx="54">
                  <c:v>2.0173999999999999</c:v>
                </c:pt>
                <c:pt idx="55">
                  <c:v>2.0463</c:v>
                </c:pt>
                <c:pt idx="56">
                  <c:v>2.0752000000000002</c:v>
                </c:pt>
                <c:pt idx="57">
                  <c:v>2.1041000000000003</c:v>
                </c:pt>
                <c:pt idx="58">
                  <c:v>2.1330000000000005</c:v>
                </c:pt>
                <c:pt idx="59">
                  <c:v>2.1619000000000006</c:v>
                </c:pt>
                <c:pt idx="60">
                  <c:v>2.1908000000000007</c:v>
                </c:pt>
                <c:pt idx="61">
                  <c:v>2.2197000000000009</c:v>
                </c:pt>
                <c:pt idx="62">
                  <c:v>2.248600000000001</c:v>
                </c:pt>
                <c:pt idx="63">
                  <c:v>2.2775000000000012</c:v>
                </c:pt>
                <c:pt idx="64">
                  <c:v>2.3064000000000013</c:v>
                </c:pt>
                <c:pt idx="65">
                  <c:v>2.3353000000000015</c:v>
                </c:pt>
                <c:pt idx="66">
                  <c:v>2.3642000000000016</c:v>
                </c:pt>
                <c:pt idx="67">
                  <c:v>2.3931000000000018</c:v>
                </c:pt>
                <c:pt idx="68">
                  <c:v>2.4220000000000002</c:v>
                </c:pt>
                <c:pt idx="69">
                  <c:v>2.4220000000000002</c:v>
                </c:pt>
                <c:pt idx="70">
                  <c:v>2.4509000000000003</c:v>
                </c:pt>
                <c:pt idx="71">
                  <c:v>2.4798000000000004</c:v>
                </c:pt>
                <c:pt idx="72">
                  <c:v>2.5087000000000006</c:v>
                </c:pt>
                <c:pt idx="73">
                  <c:v>2.5376000000000007</c:v>
                </c:pt>
                <c:pt idx="74">
                  <c:v>2.5665000000000009</c:v>
                </c:pt>
                <c:pt idx="75">
                  <c:v>2.595400000000001</c:v>
                </c:pt>
                <c:pt idx="76">
                  <c:v>2.6243000000000012</c:v>
                </c:pt>
                <c:pt idx="77">
                  <c:v>2.6532000000000013</c:v>
                </c:pt>
                <c:pt idx="78">
                  <c:v>2.6821000000000015</c:v>
                </c:pt>
                <c:pt idx="79">
                  <c:v>2.7110000000000016</c:v>
                </c:pt>
                <c:pt idx="80">
                  <c:v>2.7399000000000018</c:v>
                </c:pt>
                <c:pt idx="81">
                  <c:v>2.7688000000000019</c:v>
                </c:pt>
                <c:pt idx="82">
                  <c:v>2.7977000000000021</c:v>
                </c:pt>
                <c:pt idx="83">
                  <c:v>2.8266000000000022</c:v>
                </c:pt>
                <c:pt idx="84">
                  <c:v>2.8555000000000024</c:v>
                </c:pt>
                <c:pt idx="85">
                  <c:v>2.8844000000000025</c:v>
                </c:pt>
                <c:pt idx="86">
                  <c:v>2.9133000000000027</c:v>
                </c:pt>
                <c:pt idx="87">
                  <c:v>2.9422000000000028</c:v>
                </c:pt>
                <c:pt idx="88">
                  <c:v>2.971100000000003</c:v>
                </c:pt>
                <c:pt idx="89">
                  <c:v>3</c:v>
                </c:pt>
                <c:pt idx="90">
                  <c:v>3.1153846153846154</c:v>
                </c:pt>
                <c:pt idx="91">
                  <c:v>3.2307692307692308</c:v>
                </c:pt>
                <c:pt idx="92">
                  <c:v>3.3461538461538463</c:v>
                </c:pt>
                <c:pt idx="93">
                  <c:v>3.4615384615384617</c:v>
                </c:pt>
                <c:pt idx="94">
                  <c:v>3.5769230769230771</c:v>
                </c:pt>
                <c:pt idx="95">
                  <c:v>3.6923076923076925</c:v>
                </c:pt>
                <c:pt idx="96">
                  <c:v>3.8076923076923079</c:v>
                </c:pt>
                <c:pt idx="97">
                  <c:v>3.9230769230769234</c:v>
                </c:pt>
                <c:pt idx="98">
                  <c:v>4.0384615384615383</c:v>
                </c:pt>
                <c:pt idx="99">
                  <c:v>4.1538461538461533</c:v>
                </c:pt>
                <c:pt idx="100">
                  <c:v>4.2692307692307683</c:v>
                </c:pt>
                <c:pt idx="101">
                  <c:v>4.3846153846153832</c:v>
                </c:pt>
                <c:pt idx="102">
                  <c:v>4.4999999999999982</c:v>
                </c:pt>
                <c:pt idx="103">
                  <c:v>4.6153846153846132</c:v>
                </c:pt>
                <c:pt idx="104">
                  <c:v>4.7307692307692282</c:v>
                </c:pt>
                <c:pt idx="105">
                  <c:v>4.8461538461538431</c:v>
                </c:pt>
                <c:pt idx="106">
                  <c:v>4.9615384615384581</c:v>
                </c:pt>
                <c:pt idx="107">
                  <c:v>5.0769230769230731</c:v>
                </c:pt>
                <c:pt idx="108">
                  <c:v>5.1923076923076881</c:v>
                </c:pt>
                <c:pt idx="109">
                  <c:v>5.307692307692303</c:v>
                </c:pt>
                <c:pt idx="110">
                  <c:v>5.423076923076918</c:v>
                </c:pt>
                <c:pt idx="111">
                  <c:v>5.538461538461533</c:v>
                </c:pt>
                <c:pt idx="112">
                  <c:v>5.653846153846148</c:v>
                </c:pt>
                <c:pt idx="113">
                  <c:v>5.7692307692307629</c:v>
                </c:pt>
                <c:pt idx="114">
                  <c:v>5.8846153846153779</c:v>
                </c:pt>
                <c:pt idx="115">
                  <c:v>6</c:v>
                </c:pt>
                <c:pt idx="116">
                  <c:v>6.4</c:v>
                </c:pt>
                <c:pt idx="117">
                  <c:v>6.8</c:v>
                </c:pt>
                <c:pt idx="118">
                  <c:v>7.2</c:v>
                </c:pt>
                <c:pt idx="119">
                  <c:v>7.6</c:v>
                </c:pt>
                <c:pt idx="120">
                  <c:v>8</c:v>
                </c:pt>
                <c:pt idx="121">
                  <c:v>8.4</c:v>
                </c:pt>
                <c:pt idx="122">
                  <c:v>8.8000000000000007</c:v>
                </c:pt>
                <c:pt idx="123">
                  <c:v>9.1999999999999993</c:v>
                </c:pt>
                <c:pt idx="124">
                  <c:v>9.6</c:v>
                </c:pt>
                <c:pt idx="125">
                  <c:v>10</c:v>
                </c:pt>
              </c:numCache>
            </c:numRef>
          </c:xVal>
          <c:yVal>
            <c:numRef>
              <c:f>'Spettri y'!$AO$15:$AO$140</c:f>
              <c:numCache>
                <c:formatCode>0.0000</c:formatCode>
                <c:ptCount val="126"/>
                <c:pt idx="0">
                  <c:v>9.1499999999999998E-2</c:v>
                </c:pt>
                <c:pt idx="1">
                  <c:v>9.1499999999999998E-2</c:v>
                </c:pt>
                <c:pt idx="2">
                  <c:v>0.15372</c:v>
                </c:pt>
                <c:pt idx="3">
                  <c:v>0.21593999999999999</c:v>
                </c:pt>
                <c:pt idx="4">
                  <c:v>0.21593999999999999</c:v>
                </c:pt>
                <c:pt idx="5">
                  <c:v>0.21593999999999999</c:v>
                </c:pt>
                <c:pt idx="6">
                  <c:v>0.21593999999999999</c:v>
                </c:pt>
                <c:pt idx="7">
                  <c:v>0.21593999999999999</c:v>
                </c:pt>
                <c:pt idx="8">
                  <c:v>0.20031193818692697</c:v>
                </c:pt>
                <c:pt idx="9">
                  <c:v>0.1867932891669738</c:v>
                </c:pt>
                <c:pt idx="10">
                  <c:v>0.17498397344411218</c:v>
                </c:pt>
                <c:pt idx="11">
                  <c:v>0.16457906969177416</c:v>
                </c:pt>
                <c:pt idx="12">
                  <c:v>0.15534211111211979</c:v>
                </c:pt>
                <c:pt idx="13">
                  <c:v>0.14708689632963715</c:v>
                </c:pt>
                <c:pt idx="14">
                  <c:v>0.13966480728111455</c:v>
                </c:pt>
                <c:pt idx="15">
                  <c:v>0.13295578233963234</c:v>
                </c:pt>
                <c:pt idx="16">
                  <c:v>0.12686177191245188</c:v>
                </c:pt>
                <c:pt idx="17">
                  <c:v>0.12130191493271829</c:v>
                </c:pt>
                <c:pt idx="18">
                  <c:v>0.11620893047061942</c:v>
                </c:pt>
                <c:pt idx="19">
                  <c:v>0.11152638172792655</c:v>
                </c:pt>
                <c:pt idx="20">
                  <c:v>0.10720657588275428</c:v>
                </c:pt>
                <c:pt idx="21">
                  <c:v>0.10320893381234085</c:v>
                </c:pt>
                <c:pt idx="22">
                  <c:v>9.9498711453468752E-2</c:v>
                </c:pt>
                <c:pt idx="23">
                  <c:v>9.6045987384804452E-2</c:v>
                </c:pt>
                <c:pt idx="24">
                  <c:v>9.2824854132409471E-2</c:v>
                </c:pt>
                <c:pt idx="25">
                  <c:v>8.9812766923922732E-2</c:v>
                </c:pt>
                <c:pt idx="26">
                  <c:v>8.699001525191262E-2</c:v>
                </c:pt>
                <c:pt idx="27">
                  <c:v>8.433929105106272E-2</c:v>
                </c:pt>
                <c:pt idx="28">
                  <c:v>8.433929105106272E-2</c:v>
                </c:pt>
                <c:pt idx="29">
                  <c:v>8.1845333490735098E-2</c:v>
                </c:pt>
                <c:pt idx="30">
                  <c:v>7.9494634979497103E-2</c:v>
                </c:pt>
                <c:pt idx="31">
                  <c:v>7.7275196418623668E-2</c:v>
                </c:pt>
                <c:pt idx="32">
                  <c:v>7.5176322341004367E-2</c:v>
                </c:pt>
                <c:pt idx="33">
                  <c:v>7.3188448552677532E-2</c:v>
                </c:pt>
                <c:pt idx="34">
                  <c:v>7.130299641575219E-2</c:v>
                </c:pt>
                <c:pt idx="35">
                  <c:v>6.9512249089099976E-2</c:v>
                </c:pt>
                <c:pt idx="36">
                  <c:v>6.7809245961163667E-2</c:v>
                </c:pt>
                <c:pt idx="37">
                  <c:v>6.6187692229626963E-2</c:v>
                </c:pt>
                <c:pt idx="38">
                  <c:v>6.4641881151664693E-2</c:v>
                </c:pt>
                <c:pt idx="39">
                  <c:v>6.3166626940601808E-2</c:v>
                </c:pt>
                <c:pt idx="40">
                  <c:v>6.1757206646127064E-2</c:v>
                </c:pt>
                <c:pt idx="41">
                  <c:v>6.0409309645552495E-2</c:v>
                </c:pt>
                <c:pt idx="42">
                  <c:v>5.9118993608138347E-2</c:v>
                </c:pt>
                <c:pt idx="43">
                  <c:v>5.7882645984891352E-2</c:v>
                </c:pt>
                <c:pt idx="44">
                  <c:v>5.6696950231531019E-2</c:v>
                </c:pt>
                <c:pt idx="45">
                  <c:v>5.5558856099552453E-2</c:v>
                </c:pt>
                <c:pt idx="46">
                  <c:v>5.4465553435013699E-2</c:v>
                </c:pt>
                <c:pt idx="47">
                  <c:v>5.3414449011190364E-2</c:v>
                </c:pt>
                <c:pt idx="48">
                  <c:v>5.2403145993013246E-2</c:v>
                </c:pt>
                <c:pt idx="49">
                  <c:v>5.0798397779877276E-2</c:v>
                </c:pt>
                <c:pt idx="50">
                  <c:v>4.9266250155010516E-2</c:v>
                </c:pt>
                <c:pt idx="51">
                  <c:v>4.7802388884362709E-2</c:v>
                </c:pt>
                <c:pt idx="52">
                  <c:v>4.6402815499675072E-2</c:v>
                </c:pt>
                <c:pt idx="53">
                  <c:v>4.5063819965378948E-2</c:v>
                </c:pt>
                <c:pt idx="54">
                  <c:v>4.3781956066512688E-2</c:v>
                </c:pt>
                <c:pt idx="55">
                  <c:v>4.25540192124279E-2</c:v>
                </c:pt>
                <c:pt idx="56">
                  <c:v>4.1377026389041026E-2</c:v>
                </c:pt>
                <c:pt idx="57">
                  <c:v>4.0248198025191854E-2</c:v>
                </c:pt>
                <c:pt idx="58">
                  <c:v>3.9164941567060664E-2</c:v>
                </c:pt>
                <c:pt idx="59">
                  <c:v>3.8124836579217329E-2</c:v>
                </c:pt>
                <c:pt idx="60">
                  <c:v>3.7125621212271059E-2</c:v>
                </c:pt>
                <c:pt idx="61">
                  <c:v>3.6165179895717367E-2</c:v>
                </c:pt>
                <c:pt idx="62">
                  <c:v>3.5241532130828604E-2</c:v>
                </c:pt>
                <c:pt idx="63">
                  <c:v>3.4352822272635301E-2</c:v>
                </c:pt>
                <c:pt idx="64">
                  <c:v>3.3497310202478578E-2</c:v>
                </c:pt>
                <c:pt idx="65">
                  <c:v>3.2673362803517486E-2</c:v>
                </c:pt>
                <c:pt idx="66">
                  <c:v>3.1879446161155102E-2</c:v>
                </c:pt>
                <c:pt idx="67">
                  <c:v>3.1114118418776111E-2</c:v>
                </c:pt>
                <c:pt idx="68">
                  <c:v>3.0376023226619104E-2</c:v>
                </c:pt>
                <c:pt idx="69">
                  <c:v>3.0376023226619104E-2</c:v>
                </c:pt>
                <c:pt idx="70">
                  <c:v>2.9663883728165207E-2</c:v>
                </c:pt>
                <c:pt idx="71">
                  <c:v>2.8976497034224884E-2</c:v>
                </c:pt>
                <c:pt idx="72">
                  <c:v>2.8312729140038143E-2</c:v>
                </c:pt>
                <c:pt idx="73">
                  <c:v>2.7671510245258511E-2</c:v>
                </c:pt>
                <c:pt idx="74">
                  <c:v>2.705183044073408E-2</c:v>
                </c:pt>
                <c:pt idx="75">
                  <c:v>2.6452735729595035E-2</c:v>
                </c:pt>
                <c:pt idx="76">
                  <c:v>2.587332435335956E-2</c:v>
                </c:pt>
                <c:pt idx="77">
                  <c:v>2.5312743396625047E-2</c:v>
                </c:pt>
                <c:pt idx="78">
                  <c:v>2.4770185646461249E-2</c:v>
                </c:pt>
                <c:pt idx="79">
                  <c:v>2.4244886684900758E-2</c:v>
                </c:pt>
                <c:pt idx="80">
                  <c:v>2.3736122194962454E-2</c:v>
                </c:pt>
                <c:pt idx="81">
                  <c:v>2.3243205462471443E-2</c:v>
                </c:pt>
                <c:pt idx="82">
                  <c:v>2.276548505757961E-2</c:v>
                </c:pt>
                <c:pt idx="83">
                  <c:v>2.2302342681364135E-2</c:v>
                </c:pt>
                <c:pt idx="84">
                  <c:v>2.1853191164206569E-2</c:v>
                </c:pt>
                <c:pt idx="85">
                  <c:v>2.1417472603848006E-2</c:v>
                </c:pt>
                <c:pt idx="86">
                  <c:v>2.099465663209123E-2</c:v>
                </c:pt>
                <c:pt idx="87">
                  <c:v>2.0584238800090776E-2</c:v>
                </c:pt>
                <c:pt idx="88">
                  <c:v>2.0185739073048194E-2</c:v>
                </c:pt>
                <c:pt idx="89">
                  <c:v>1.9798700425922081E-2</c:v>
                </c:pt>
                <c:pt idx="90">
                  <c:v>1.8359288735148596E-2</c:v>
                </c:pt>
                <c:pt idx="91">
                  <c:v>1.7071328428473628E-2</c:v>
                </c:pt>
                <c:pt idx="92">
                  <c:v>1.591429427814902E-2</c:v>
                </c:pt>
                <c:pt idx="93">
                  <c:v>1.4871023875470362E-2</c:v>
                </c:pt>
                <c:pt idx="94">
                  <c:v>1.3927077510846332E-2</c:v>
                </c:pt>
                <c:pt idx="95">
                  <c:v>1.3070235828050121E-2</c:v>
                </c:pt>
                <c:pt idx="96">
                  <c:v>1.2290102376421787E-2</c:v>
                </c:pt>
                <c:pt idx="97">
                  <c:v>1.1577786754258931E-2</c:v>
                </c:pt>
                <c:pt idx="98">
                  <c:v>1.0925650194223124E-2</c:v>
                </c:pt>
                <c:pt idx="99">
                  <c:v>1.0327099913521088E-2</c:v>
                </c:pt>
                <c:pt idx="100">
                  <c:v>9.7764218319381542E-3</c:v>
                </c:pt>
                <c:pt idx="101">
                  <c:v>9.2686436896976011E-3</c:v>
                </c:pt>
                <c:pt idx="102">
                  <c:v>8.7994224115209314E-3</c:v>
                </c:pt>
                <c:pt idx="103">
                  <c:v>8.364950929952087E-3</c:v>
                </c:pt>
                <c:pt idx="104">
                  <c:v>7.9618807185742654E-3</c:v>
                </c:pt>
                <c:pt idx="105">
                  <c:v>7.5872570793216231E-3</c:v>
                </c:pt>
                <c:pt idx="106">
                  <c:v>7.2384648393311766E-3</c:v>
                </c:pt>
                <c:pt idx="107">
                  <c:v>6.9131825867372659E-3</c:v>
                </c:pt>
                <c:pt idx="108">
                  <c:v>6.6093439446535058E-3</c:v>
                </c:pt>
                <c:pt idx="109">
                  <c:v>6.3251046729316399E-3</c:v>
                </c:pt>
                <c:pt idx="110">
                  <c:v>6.0588146165338847E-3</c:v>
                </c:pt>
                <c:pt idx="111">
                  <c:v>5.8089937013556222E-3</c:v>
                </c:pt>
                <c:pt idx="112">
                  <c:v>5.5743113235832377E-3</c:v>
                </c:pt>
                <c:pt idx="113">
                  <c:v>5.3535685951693422E-3</c:v>
                </c:pt>
                <c:pt idx="114">
                  <c:v>5.1456830018928703E-3</c:v>
                </c:pt>
                <c:pt idx="115">
                  <c:v>4.9496751064805203E-3</c:v>
                </c:pt>
                <c:pt idx="116">
                  <c:v>4.0996051100417961E-3</c:v>
                </c:pt>
                <c:pt idx="117">
                  <c:v>3.4094149390425025E-3</c:v>
                </c:pt>
                <c:pt idx="118">
                  <c:v>2.8430337240613161E-3</c:v>
                </c:pt>
                <c:pt idx="119">
                  <c:v>2.3738640881120479E-3</c:v>
                </c:pt>
                <c:pt idx="120">
                  <c:v>1.9819673625525807E-3</c:v>
                </c:pt>
                <c:pt idx="121">
                  <c:v>1.6521744993959532E-3</c:v>
                </c:pt>
                <c:pt idx="122">
                  <c:v>1.3727912467896661E-3</c:v>
                </c:pt>
                <c:pt idx="123">
                  <c:v>1.1346937101300225E-3</c:v>
                </c:pt>
                <c:pt idx="124">
                  <c:v>9.3068573241556418E-4</c:v>
                </c:pt>
                <c:pt idx="125">
                  <c:v>7.5503518573431653E-4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E6E-49A3-AFDA-61F7668B1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938176"/>
        <c:axId val="154017792"/>
      </c:scatterChart>
      <c:valAx>
        <c:axId val="153938176"/>
        <c:scaling>
          <c:orientation val="minMax"/>
          <c:max val="10"/>
          <c:min val="0"/>
        </c:scaling>
        <c:delete val="0"/>
        <c:axPos val="b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54017792"/>
        <c:crosses val="autoZero"/>
        <c:crossBetween val="midCat"/>
      </c:valAx>
      <c:valAx>
        <c:axId val="154017792"/>
        <c:scaling>
          <c:orientation val="minMax"/>
          <c:max val="1.2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it-IT"/>
          </a:p>
        </c:txPr>
        <c:crossAx val="1539381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9927689338720689"/>
          <c:y val="0.21156255468066493"/>
          <c:w val="0.20786721972253488"/>
          <c:h val="0.34496654584843567"/>
        </c:manualLayout>
      </c:layout>
      <c:overlay val="1"/>
      <c:spPr>
        <a:solidFill>
          <a:schemeClr val="bg1"/>
        </a:solidFill>
      </c:spPr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17</xdr:col>
      <xdr:colOff>0</xdr:colOff>
      <xdr:row>15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A3C46E4-8D66-42AA-B1B7-A68085A96F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16</xdr:row>
      <xdr:rowOff>0</xdr:rowOff>
    </xdr:from>
    <xdr:to>
      <xdr:col>17</xdr:col>
      <xdr:colOff>0</xdr:colOff>
      <xdr:row>31</xdr:row>
      <xdr:rowOff>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1EFE1978-B046-4DBD-94CE-3B827B6602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25</xdr:col>
      <xdr:colOff>0</xdr:colOff>
      <xdr:row>15</xdr:row>
      <xdr:rowOff>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2C3ED68B-81E9-46ED-AD7C-E1C8B466A6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1104900</xdr:colOff>
      <xdr:row>37</xdr:row>
      <xdr:rowOff>0</xdr:rowOff>
    </xdr:from>
    <xdr:to>
      <xdr:col>17</xdr:col>
      <xdr:colOff>0</xdr:colOff>
      <xdr:row>52</xdr:row>
      <xdr:rowOff>142875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3F6F1DA9-5FAB-4FCC-982B-E49B675A3F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37</xdr:row>
      <xdr:rowOff>0</xdr:rowOff>
    </xdr:from>
    <xdr:to>
      <xdr:col>25</xdr:col>
      <xdr:colOff>0</xdr:colOff>
      <xdr:row>52</xdr:row>
      <xdr:rowOff>142875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7AA9939B-4721-4F35-BAFB-2E20B1024F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42863</xdr:colOff>
          <xdr:row>0</xdr:row>
          <xdr:rowOff>90488</xdr:rowOff>
        </xdr:from>
        <xdr:to>
          <xdr:col>34</xdr:col>
          <xdr:colOff>142875</xdr:colOff>
          <xdr:row>2</xdr:row>
          <xdr:rowOff>166688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42863</xdr:colOff>
          <xdr:row>3</xdr:row>
          <xdr:rowOff>19050</xdr:rowOff>
        </xdr:from>
        <xdr:to>
          <xdr:col>32</xdr:col>
          <xdr:colOff>623888</xdr:colOff>
          <xdr:row>4</xdr:row>
          <xdr:rowOff>166688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0.75</cdr:x>
      <cdr:y>0.21333</cdr:y>
    </cdr:from>
    <cdr:to>
      <cdr:x>0.8125</cdr:x>
      <cdr:y>0.27333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3200400" y="609600"/>
          <a:ext cx="26670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>
            <a:ln>
              <a:solidFill>
                <a:schemeClr val="bg1"/>
              </a:solidFill>
            </a:ln>
            <a:solidFill>
              <a:schemeClr val="bg1"/>
            </a:solidFill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0.75</cdr:x>
      <cdr:y>0.21333</cdr:y>
    </cdr:from>
    <cdr:to>
      <cdr:x>0.8125</cdr:x>
      <cdr:y>0.27333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3200400" y="609600"/>
          <a:ext cx="26670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>
            <a:ln>
              <a:solidFill>
                <a:schemeClr val="bg1"/>
              </a:solidFill>
            </a:ln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0.72056</cdr:x>
      <cdr:y>0.23842</cdr:y>
    </cdr:from>
    <cdr:to>
      <cdr:x>0.81208</cdr:x>
      <cdr:y>0.28175</cdr:y>
    </cdr:to>
    <cdr:sp macro="" textlink="">
      <cdr:nvSpPr>
        <cdr:cNvPr id="4" name="CasellaDiTesto 1"/>
        <cdr:cNvSpPr txBox="1"/>
      </cdr:nvSpPr>
      <cdr:spPr>
        <a:xfrm xmlns:a="http://schemas.openxmlformats.org/drawingml/2006/main">
          <a:off x="3290960" y="715338"/>
          <a:ext cx="417993" cy="13000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t-IT" sz="1100"/>
            <a:t>   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0.75</cdr:x>
      <cdr:y>0.21333</cdr:y>
    </cdr:from>
    <cdr:to>
      <cdr:x>0.8125</cdr:x>
      <cdr:y>0.27333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3200400" y="609600"/>
          <a:ext cx="26670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>
            <a:ln>
              <a:solidFill>
                <a:schemeClr val="bg1"/>
              </a:solidFill>
            </a:ln>
            <a:solidFill>
              <a:schemeClr val="bg1"/>
            </a:solidFill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0.75</cdr:x>
      <cdr:y>0.21333</cdr:y>
    </cdr:from>
    <cdr:to>
      <cdr:x>0.8125</cdr:x>
      <cdr:y>0.27333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3200400" y="609600"/>
          <a:ext cx="26670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>
            <a:ln>
              <a:solidFill>
                <a:schemeClr val="bg1"/>
              </a:solidFill>
            </a:ln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0.75313</cdr:x>
      <cdr:y>0.21834</cdr:y>
    </cdr:from>
    <cdr:to>
      <cdr:x>0.84465</cdr:x>
      <cdr:y>0.26167</cdr:y>
    </cdr:to>
    <cdr:sp macro="" textlink="">
      <cdr:nvSpPr>
        <cdr:cNvPr id="3" name="CasellaDiTesto 2"/>
        <cdr:cNvSpPr txBox="1"/>
      </cdr:nvSpPr>
      <cdr:spPr>
        <a:xfrm xmlns:a="http://schemas.openxmlformats.org/drawingml/2006/main">
          <a:off x="3439716" y="623898"/>
          <a:ext cx="417993" cy="1238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   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0.74436</cdr:x>
      <cdr:y>0.19166</cdr:y>
    </cdr:from>
    <cdr:to>
      <cdr:x>0.83588</cdr:x>
      <cdr:y>0.235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3399688" y="547677"/>
          <a:ext cx="417993" cy="12384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t-IT" sz="1100"/>
            <a:t>   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0.75</cdr:x>
      <cdr:y>0.21333</cdr:y>
    </cdr:from>
    <cdr:to>
      <cdr:x>0.8125</cdr:x>
      <cdr:y>0.27333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3200400" y="609600"/>
          <a:ext cx="26670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>
            <a:ln>
              <a:solidFill>
                <a:schemeClr val="bg1"/>
              </a:solidFill>
            </a:ln>
            <a:solidFill>
              <a:schemeClr val="bg1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0.75</cdr:x>
      <cdr:y>0.21333</cdr:y>
    </cdr:from>
    <cdr:to>
      <cdr:x>0.8125</cdr:x>
      <cdr:y>0.27333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3200400" y="609600"/>
          <a:ext cx="26670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>
            <a:ln>
              <a:solidFill>
                <a:schemeClr val="bg1"/>
              </a:solidFill>
            </a:ln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0.72056</cdr:x>
      <cdr:y>0.23842</cdr:y>
    </cdr:from>
    <cdr:to>
      <cdr:x>0.81208</cdr:x>
      <cdr:y>0.28175</cdr:y>
    </cdr:to>
    <cdr:sp macro="" textlink="">
      <cdr:nvSpPr>
        <cdr:cNvPr id="4" name="CasellaDiTesto 1"/>
        <cdr:cNvSpPr txBox="1"/>
      </cdr:nvSpPr>
      <cdr:spPr>
        <a:xfrm xmlns:a="http://schemas.openxmlformats.org/drawingml/2006/main">
          <a:off x="3290960" y="715338"/>
          <a:ext cx="417993" cy="13000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t-IT" sz="1100"/>
            <a:t>   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0.75</cdr:x>
      <cdr:y>0.21333</cdr:y>
    </cdr:from>
    <cdr:to>
      <cdr:x>0.8125</cdr:x>
      <cdr:y>0.27333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3200400" y="609600"/>
          <a:ext cx="26670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>
            <a:ln>
              <a:solidFill>
                <a:schemeClr val="bg1"/>
              </a:solidFill>
            </a:ln>
            <a:solidFill>
              <a:schemeClr val="bg1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17</xdr:col>
      <xdr:colOff>0</xdr:colOff>
      <xdr:row>15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529DE1D-B9C5-4CD5-884F-C40CB54BE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16</xdr:row>
      <xdr:rowOff>0</xdr:rowOff>
    </xdr:from>
    <xdr:to>
      <xdr:col>17</xdr:col>
      <xdr:colOff>0</xdr:colOff>
      <xdr:row>31</xdr:row>
      <xdr:rowOff>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115A9D5-0325-4E55-A5DA-BD64323749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25</xdr:col>
      <xdr:colOff>0</xdr:colOff>
      <xdr:row>15</xdr:row>
      <xdr:rowOff>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3584C4C5-2626-4D53-AFA3-3A8C41527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1104900</xdr:colOff>
      <xdr:row>37</xdr:row>
      <xdr:rowOff>0</xdr:rowOff>
    </xdr:from>
    <xdr:to>
      <xdr:col>17</xdr:col>
      <xdr:colOff>0</xdr:colOff>
      <xdr:row>52</xdr:row>
      <xdr:rowOff>142875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FB17D5ED-1CD0-4C41-990D-35758E40C3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37</xdr:row>
      <xdr:rowOff>0</xdr:rowOff>
    </xdr:from>
    <xdr:to>
      <xdr:col>25</xdr:col>
      <xdr:colOff>0</xdr:colOff>
      <xdr:row>52</xdr:row>
      <xdr:rowOff>142875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BC3F9674-4F89-4326-83C7-5414B97A5E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42863</xdr:colOff>
          <xdr:row>0</xdr:row>
          <xdr:rowOff>90488</xdr:rowOff>
        </xdr:from>
        <xdr:to>
          <xdr:col>34</xdr:col>
          <xdr:colOff>142875</xdr:colOff>
          <xdr:row>2</xdr:row>
          <xdr:rowOff>166688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42863</xdr:colOff>
          <xdr:row>3</xdr:row>
          <xdr:rowOff>19050</xdr:rowOff>
        </xdr:from>
        <xdr:to>
          <xdr:col>32</xdr:col>
          <xdr:colOff>623888</xdr:colOff>
          <xdr:row>4</xdr:row>
          <xdr:rowOff>166688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2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0.75</cdr:x>
      <cdr:y>0.21333</cdr:y>
    </cdr:from>
    <cdr:to>
      <cdr:x>0.8125</cdr:x>
      <cdr:y>0.27333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3200400" y="609600"/>
          <a:ext cx="26670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>
            <a:ln>
              <a:solidFill>
                <a:schemeClr val="bg1"/>
              </a:solidFill>
            </a:ln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0.75313</cdr:x>
      <cdr:y>0.21834</cdr:y>
    </cdr:from>
    <cdr:to>
      <cdr:x>0.84465</cdr:x>
      <cdr:y>0.26167</cdr:y>
    </cdr:to>
    <cdr:sp macro="" textlink="">
      <cdr:nvSpPr>
        <cdr:cNvPr id="3" name="CasellaDiTesto 2"/>
        <cdr:cNvSpPr txBox="1"/>
      </cdr:nvSpPr>
      <cdr:spPr>
        <a:xfrm xmlns:a="http://schemas.openxmlformats.org/drawingml/2006/main">
          <a:off x="3439716" y="623898"/>
          <a:ext cx="417993" cy="1238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1100"/>
            <a:t>   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0.74436</cdr:x>
      <cdr:y>0.19166</cdr:y>
    </cdr:from>
    <cdr:to>
      <cdr:x>0.83588</cdr:x>
      <cdr:y>0.235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3399688" y="547677"/>
          <a:ext cx="417993" cy="12384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it-IT" sz="1100"/>
            <a:t>   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tabSelected="1" zoomScaleNormal="100" workbookViewId="0">
      <selection activeCell="E1" sqref="E1"/>
    </sheetView>
  </sheetViews>
  <sheetFormatPr defaultRowHeight="16.5" customHeight="1"/>
  <cols>
    <col min="1" max="16384" width="9.06640625" style="34"/>
  </cols>
  <sheetData>
    <row r="1" spans="1:5" ht="16.5" customHeight="1">
      <c r="A1" s="32" t="s">
        <v>301</v>
      </c>
      <c r="B1" s="33"/>
      <c r="C1" s="33"/>
      <c r="E1" s="35">
        <v>45621</v>
      </c>
    </row>
    <row r="2" spans="1:5" ht="16.5" customHeight="1">
      <c r="A2" s="33"/>
      <c r="B2" s="33"/>
      <c r="C2" s="33"/>
      <c r="D2" s="33"/>
    </row>
    <row r="3" spans="1:5" ht="16.5" customHeight="1">
      <c r="A3" s="31" t="s">
        <v>148</v>
      </c>
      <c r="B3" s="33"/>
      <c r="C3" s="33"/>
      <c r="D3" s="33"/>
    </row>
    <row r="5" spans="1:5" ht="16.5" customHeight="1">
      <c r="A5" s="34" t="s">
        <v>173</v>
      </c>
    </row>
    <row r="6" spans="1:5" ht="16.5" customHeight="1">
      <c r="A6" s="34" t="s">
        <v>174</v>
      </c>
    </row>
    <row r="7" spans="1:5" ht="16.5" customHeight="1">
      <c r="A7" s="34" t="s">
        <v>175</v>
      </c>
    </row>
    <row r="8" spans="1:5" ht="16.5" customHeight="1">
      <c r="A8" s="33"/>
      <c r="B8" s="33"/>
      <c r="C8" s="33"/>
      <c r="D8" s="33"/>
    </row>
    <row r="9" spans="1:5" ht="16.5" customHeight="1">
      <c r="A9" s="34" t="s">
        <v>210</v>
      </c>
    </row>
    <row r="10" spans="1:5" ht="16.5" customHeight="1">
      <c r="A10" s="34" t="s">
        <v>212</v>
      </c>
    </row>
    <row r="11" spans="1:5" ht="16.5" customHeight="1">
      <c r="A11" s="34" t="s">
        <v>208</v>
      </c>
    </row>
    <row r="12" spans="1:5" ht="16.5" customHeight="1">
      <c r="A12" s="34" t="s">
        <v>209</v>
      </c>
    </row>
    <row r="14" spans="1:5" ht="16.5" customHeight="1">
      <c r="A14" s="34" t="s">
        <v>211</v>
      </c>
    </row>
    <row r="15" spans="1:5" ht="16.5" customHeight="1">
      <c r="A15" s="34" t="s">
        <v>206</v>
      </c>
    </row>
    <row r="16" spans="1:5" ht="16.5" customHeight="1">
      <c r="A16" s="34" t="s">
        <v>207</v>
      </c>
    </row>
    <row r="18" spans="1:1" ht="16.5" customHeight="1">
      <c r="A18" s="34" t="s">
        <v>201</v>
      </c>
    </row>
    <row r="19" spans="1:1" ht="16.5" customHeight="1">
      <c r="A19" s="34" t="s">
        <v>57</v>
      </c>
    </row>
    <row r="20" spans="1:1" ht="16.5" customHeight="1">
      <c r="A20" s="34" t="s">
        <v>143</v>
      </c>
    </row>
    <row r="21" spans="1:1" ht="16.5" customHeight="1">
      <c r="A21" s="34" t="s">
        <v>183</v>
      </c>
    </row>
    <row r="22" spans="1:1" ht="16.5" customHeight="1">
      <c r="A22" s="34" t="s">
        <v>58</v>
      </c>
    </row>
    <row r="24" spans="1:1" ht="16.5" customHeight="1">
      <c r="A24" s="34" t="s">
        <v>202</v>
      </c>
    </row>
    <row r="25" spans="1:1" ht="16.5" customHeight="1">
      <c r="A25" s="34" t="s">
        <v>100</v>
      </c>
    </row>
    <row r="26" spans="1:1" ht="16.5" customHeight="1">
      <c r="A26" s="34" t="s">
        <v>59</v>
      </c>
    </row>
    <row r="28" spans="1:1" ht="16.5" customHeight="1">
      <c r="A28" s="34" t="s">
        <v>203</v>
      </c>
    </row>
    <row r="29" spans="1:1" ht="16.5" customHeight="1">
      <c r="A29" s="34" t="s">
        <v>101</v>
      </c>
    </row>
    <row r="30" spans="1:1" ht="16.5" customHeight="1">
      <c r="A30" s="34" t="s">
        <v>102</v>
      </c>
    </row>
    <row r="31" spans="1:1" ht="16.5" customHeight="1">
      <c r="A31" s="34" t="s">
        <v>103</v>
      </c>
    </row>
    <row r="33" spans="1:1" ht="16.5" customHeight="1">
      <c r="A33" s="34" t="s">
        <v>204</v>
      </c>
    </row>
    <row r="34" spans="1:1" ht="16.5" customHeight="1">
      <c r="A34" s="34" t="s">
        <v>140</v>
      </c>
    </row>
    <row r="36" spans="1:1" ht="16.5" customHeight="1">
      <c r="A36" s="34" t="s">
        <v>205</v>
      </c>
    </row>
    <row r="37" spans="1:1" ht="16.5" customHeight="1">
      <c r="A37" s="34" t="s">
        <v>141</v>
      </c>
    </row>
  </sheetData>
  <sheetProtection sheet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06B38-541A-45EA-AF67-1069CD683A6B}">
  <dimension ref="A1:BJ242"/>
  <sheetViews>
    <sheetView zoomScale="85" zoomScaleNormal="85" workbookViewId="0">
      <selection activeCell="B3" sqref="B3:E3"/>
    </sheetView>
  </sheetViews>
  <sheetFormatPr defaultColWidth="9.1328125" defaultRowHeight="16.5" customHeight="1"/>
  <cols>
    <col min="1" max="1" width="22.59765625" style="54" bestFit="1" customWidth="1"/>
    <col min="2" max="2" width="8.1328125" style="54" customWidth="1"/>
    <col min="3" max="9" width="8.1328125" style="108" customWidth="1"/>
    <col min="10" max="10" width="3.73046875" style="108" customWidth="1"/>
    <col min="11" max="17" width="9.1328125" style="108"/>
    <col min="18" max="18" width="3.73046875" style="108" customWidth="1"/>
    <col min="19" max="32" width="9.1328125" style="108"/>
    <col min="33" max="37" width="9.1328125" style="108" customWidth="1"/>
    <col min="38" max="38" width="6.59765625" style="110" customWidth="1"/>
    <col min="39" max="40" width="6.59765625" style="140" customWidth="1"/>
    <col min="41" max="42" width="6.59765625" style="105" customWidth="1"/>
    <col min="43" max="44" width="6.59765625" style="140" customWidth="1"/>
    <col min="45" max="46" width="6.59765625" style="105" customWidth="1"/>
    <col min="47" max="48" width="6.59765625" style="140" customWidth="1"/>
    <col min="49" max="50" width="6.59765625" style="105" customWidth="1"/>
    <col min="51" max="52" width="6.59765625" style="140" customWidth="1"/>
    <col min="53" max="54" width="6.59765625" style="105" customWidth="1"/>
    <col min="55" max="55" width="6.59765625" style="140" customWidth="1"/>
    <col min="56" max="56" width="6.59765625" style="105" customWidth="1"/>
    <col min="57" max="57" width="6.59765625" style="140" customWidth="1"/>
    <col min="58" max="58" width="6.59765625" style="105" customWidth="1"/>
    <col min="59" max="62" width="6.59765625" style="140" customWidth="1"/>
    <col min="63" max="16384" width="9.1328125" style="108"/>
  </cols>
  <sheetData>
    <row r="1" spans="1:62" ht="16.5" customHeight="1">
      <c r="A1" s="107" t="s">
        <v>0</v>
      </c>
      <c r="B1" s="108"/>
      <c r="C1" s="54" t="s">
        <v>154</v>
      </c>
      <c r="D1" s="54" t="s">
        <v>155</v>
      </c>
      <c r="E1" s="109">
        <v>45582</v>
      </c>
      <c r="AA1" s="156" t="s">
        <v>8</v>
      </c>
      <c r="AB1" s="156"/>
      <c r="AC1" s="156"/>
      <c r="AD1" s="156"/>
      <c r="AE1" s="156"/>
      <c r="AL1" s="110" t="s">
        <v>217</v>
      </c>
      <c r="AM1" s="137"/>
      <c r="AN1" s="138"/>
      <c r="AO1" s="138">
        <f>C17</f>
        <v>9.1499999999999998E-2</v>
      </c>
      <c r="AP1" s="139"/>
      <c r="AQ1" s="137"/>
      <c r="AR1" s="138"/>
      <c r="AS1" s="138">
        <f>C18</f>
        <v>0.123</v>
      </c>
      <c r="AT1" s="139"/>
      <c r="AU1" s="137"/>
      <c r="AV1" s="138"/>
      <c r="AW1" s="138">
        <f>C19</f>
        <v>0.33462500000000001</v>
      </c>
      <c r="AX1" s="139"/>
      <c r="AY1" s="137"/>
      <c r="AZ1" s="138"/>
      <c r="BA1" s="138">
        <f>C20</f>
        <v>0.40771089300000007</v>
      </c>
      <c r="BB1" s="139"/>
      <c r="BC1" s="137"/>
      <c r="BD1" s="138"/>
      <c r="BE1" s="138"/>
      <c r="BF1" s="138"/>
      <c r="BG1" s="137"/>
      <c r="BH1" s="138">
        <f>C8</f>
        <v>8.2000000000000003E-2</v>
      </c>
      <c r="BI1" s="137"/>
      <c r="BJ1" s="138">
        <f>C9</f>
        <v>0.25</v>
      </c>
    </row>
    <row r="2" spans="1:62" ht="16.5" customHeight="1">
      <c r="AB2" s="110" t="s">
        <v>218</v>
      </c>
      <c r="AC2" s="110" t="s">
        <v>219</v>
      </c>
      <c r="AD2" s="110" t="s">
        <v>220</v>
      </c>
      <c r="AE2" s="110" t="s">
        <v>221</v>
      </c>
      <c r="AL2" s="110" t="s">
        <v>222</v>
      </c>
      <c r="AM2" s="137"/>
      <c r="AN2" s="138"/>
      <c r="AO2" s="138">
        <f>D17</f>
        <v>0.14916396716852898</v>
      </c>
      <c r="AP2" s="139"/>
      <c r="AQ2" s="137"/>
      <c r="AR2" s="138"/>
      <c r="AS2" s="138">
        <f>D18</f>
        <v>0.15341737754593213</v>
      </c>
      <c r="AT2" s="139"/>
      <c r="AU2" s="137"/>
      <c r="AV2" s="138"/>
      <c r="AW2" s="138">
        <f>D19</f>
        <v>0.17651869980007165</v>
      </c>
      <c r="AX2" s="139"/>
      <c r="AY2" s="137"/>
      <c r="AZ2" s="138"/>
      <c r="BA2" s="138">
        <f>D20</f>
        <v>0.18399720371942338</v>
      </c>
      <c r="BB2" s="139"/>
      <c r="BC2" s="137"/>
      <c r="BD2" s="138"/>
      <c r="BE2" s="138"/>
      <c r="BF2" s="138"/>
      <c r="BG2" s="137"/>
      <c r="BH2" s="138">
        <v>0.05</v>
      </c>
      <c r="BI2" s="137"/>
      <c r="BJ2" s="138">
        <v>0.05</v>
      </c>
    </row>
    <row r="3" spans="1:62" ht="16.5" customHeight="1">
      <c r="A3" s="54" t="s">
        <v>2</v>
      </c>
      <c r="B3" s="157" t="s">
        <v>3</v>
      </c>
      <c r="C3" s="157"/>
      <c r="D3" s="157"/>
      <c r="E3" s="157"/>
      <c r="AA3" s="110" t="s">
        <v>223</v>
      </c>
      <c r="AB3" s="110">
        <f>IF(OR(B14="",B14="A"),1,IF(B14="B",1.4,IF(B14="C",1.7,IF(B14="D",2.4,2))))</f>
        <v>1.7</v>
      </c>
      <c r="AC3" s="110">
        <f>IF(OR(B14="",B14="A"),0,IF(B14="B",0.4,IF(B14="C",0.6,IF(B14="D",1.5,1.1))))</f>
        <v>0.6</v>
      </c>
      <c r="AD3" s="110">
        <f>IF(OR(B14="",B14="A"),1,IF(B14="B",1,IF(B14="C",1,IF(B14="D",0.9,1))))</f>
        <v>1</v>
      </c>
      <c r="AE3" s="110">
        <f>IF(OR(B14="",B14="A"),1,IF(B14="B",1.2,IF(B14="C",1.5,IF(B14="D",1.8,1.6))))</f>
        <v>1.5</v>
      </c>
      <c r="AL3" s="110" t="s">
        <v>224</v>
      </c>
      <c r="AM3" s="137"/>
      <c r="AN3" s="138"/>
      <c r="AO3" s="138">
        <f>E17</f>
        <v>0.44749190150558693</v>
      </c>
      <c r="AP3" s="139"/>
      <c r="AQ3" s="137"/>
      <c r="AR3" s="138"/>
      <c r="AS3" s="138">
        <f>E18</f>
        <v>0.46025213263779635</v>
      </c>
      <c r="AT3" s="139"/>
      <c r="AU3" s="137"/>
      <c r="AV3" s="138"/>
      <c r="AW3" s="138">
        <f>E19</f>
        <v>0.52955609940021497</v>
      </c>
      <c r="AX3" s="139"/>
      <c r="AY3" s="137"/>
      <c r="AZ3" s="138"/>
      <c r="BA3" s="138">
        <f>E20</f>
        <v>0.55199161115827011</v>
      </c>
      <c r="BB3" s="139"/>
      <c r="BC3" s="137"/>
      <c r="BD3" s="138"/>
      <c r="BE3" s="138"/>
      <c r="BF3" s="138"/>
      <c r="BG3" s="137"/>
      <c r="BH3" s="138">
        <v>0.15</v>
      </c>
      <c r="BI3" s="137"/>
      <c r="BJ3" s="138">
        <v>0.15</v>
      </c>
    </row>
    <row r="4" spans="1:62" ht="16.5" customHeight="1">
      <c r="S4" s="54"/>
      <c r="T4" s="54"/>
      <c r="U4" s="54"/>
      <c r="V4" s="54"/>
      <c r="W4" s="54"/>
      <c r="X4" s="54"/>
      <c r="Y4" s="54"/>
      <c r="AB4" s="110" t="s">
        <v>225</v>
      </c>
      <c r="AC4" s="110" t="s">
        <v>226</v>
      </c>
      <c r="AF4" s="54"/>
      <c r="AG4" s="54"/>
      <c r="AL4" s="110" t="s">
        <v>227</v>
      </c>
      <c r="AM4" s="137"/>
      <c r="AN4" s="138"/>
      <c r="AO4" s="138">
        <f>F17</f>
        <v>1.8440000000000001</v>
      </c>
      <c r="AP4" s="139"/>
      <c r="AQ4" s="137"/>
      <c r="AR4" s="138"/>
      <c r="AS4" s="138">
        <f>F18</f>
        <v>1.9280000000000002</v>
      </c>
      <c r="AT4" s="139"/>
      <c r="AU4" s="137"/>
      <c r="AV4" s="138"/>
      <c r="AW4" s="138">
        <f>F19</f>
        <v>2.6</v>
      </c>
      <c r="AX4" s="139"/>
      <c r="AY4" s="137"/>
      <c r="AZ4" s="138"/>
      <c r="BA4" s="138">
        <f>F20</f>
        <v>2.9560000000000004</v>
      </c>
      <c r="BB4" s="139"/>
      <c r="BG4" s="137"/>
      <c r="BH4" s="138">
        <v>1</v>
      </c>
      <c r="BI4" s="137"/>
      <c r="BJ4" s="138">
        <v>1</v>
      </c>
    </row>
    <row r="5" spans="1:62" ht="16.5" customHeight="1">
      <c r="A5" s="54" t="s">
        <v>10</v>
      </c>
      <c r="F5" s="158" t="str">
        <f>"per la classe d'uso indicata, diversa da II"</f>
        <v>per la classe d'uso indicata, diversa da II</v>
      </c>
      <c r="G5" s="158"/>
      <c r="H5" s="158"/>
      <c r="I5" s="158"/>
      <c r="AA5" s="110" t="s">
        <v>228</v>
      </c>
      <c r="AB5" s="110">
        <f>IF(OR(B14="",B14="A"),1,IF(B14="B",1.1,IF(B14="C",1.05,IF(B14="D",1.25,1.15))))</f>
        <v>1.05</v>
      </c>
      <c r="AC5" s="110">
        <f>IF(OR(B14="",B14="A"),0,IF(B14="B",0.2,IF(B14="C",0.33,IF(B14="D",0.5,0.4))))</f>
        <v>0.33</v>
      </c>
      <c r="AD5" s="112"/>
      <c r="AE5" s="112"/>
      <c r="AL5" s="110" t="s">
        <v>229</v>
      </c>
      <c r="AM5" s="137"/>
      <c r="AN5" s="138"/>
      <c r="AO5" s="138">
        <f>G17</f>
        <v>6</v>
      </c>
      <c r="AP5" s="139"/>
      <c r="AQ5" s="137"/>
      <c r="AR5" s="138"/>
      <c r="AS5" s="138">
        <f>G18</f>
        <v>6</v>
      </c>
      <c r="AT5" s="139"/>
      <c r="AU5" s="137"/>
      <c r="AV5" s="138"/>
      <c r="AW5" s="138">
        <f>G19</f>
        <v>6</v>
      </c>
      <c r="AX5" s="139"/>
      <c r="AY5" s="137"/>
      <c r="AZ5" s="138"/>
      <c r="BA5" s="138">
        <f>G20</f>
        <v>6</v>
      </c>
      <c r="BB5" s="139"/>
      <c r="BC5" s="137"/>
      <c r="BD5" s="138"/>
      <c r="BE5" s="138"/>
      <c r="BF5" s="138"/>
      <c r="BG5" s="137"/>
      <c r="BI5" s="137"/>
    </row>
    <row r="6" spans="1:62" ht="16.5" customHeight="1">
      <c r="A6" s="54" t="s">
        <v>11</v>
      </c>
      <c r="B6" s="54" t="s">
        <v>230</v>
      </c>
      <c r="C6" s="54" t="s">
        <v>231</v>
      </c>
      <c r="D6" s="54" t="s">
        <v>232</v>
      </c>
      <c r="E6" s="54" t="s">
        <v>233</v>
      </c>
      <c r="F6" s="113" t="s">
        <v>234</v>
      </c>
      <c r="G6" s="113" t="s">
        <v>235</v>
      </c>
      <c r="H6" s="113" t="s">
        <v>236</v>
      </c>
      <c r="I6" s="113" t="s">
        <v>237</v>
      </c>
      <c r="AA6" s="145" t="s">
        <v>12</v>
      </c>
      <c r="AB6" s="111">
        <f>IF(B13="",1,MAX(SQRT(10/(5+B13*100)),0.55))</f>
        <v>1</v>
      </c>
      <c r="AC6" s="112"/>
      <c r="AD6" s="110" t="s">
        <v>260</v>
      </c>
      <c r="AE6" s="110">
        <v>10</v>
      </c>
      <c r="AL6" s="114" t="s">
        <v>238</v>
      </c>
      <c r="AM6" s="137"/>
      <c r="AN6" s="138"/>
      <c r="AO6" s="141">
        <f>H17</f>
        <v>0.21593999999999999</v>
      </c>
      <c r="AP6" s="139"/>
      <c r="AQ6" s="137"/>
      <c r="AR6" s="138"/>
      <c r="AS6" s="141">
        <f>H18</f>
        <v>0.28486799999999995</v>
      </c>
      <c r="AT6" s="139"/>
      <c r="AU6" s="137"/>
      <c r="AV6" s="138"/>
      <c r="AW6" s="141">
        <f>H19</f>
        <v>0.80644625000000003</v>
      </c>
      <c r="AX6" s="139"/>
      <c r="AY6" s="137"/>
      <c r="AZ6" s="138"/>
      <c r="BA6" s="141">
        <f>H20</f>
        <v>0.99685313338500015</v>
      </c>
      <c r="BG6" s="137"/>
      <c r="BH6" s="138"/>
      <c r="BI6" s="137"/>
      <c r="BJ6" s="138"/>
    </row>
    <row r="7" spans="1:62" ht="16.5" customHeight="1">
      <c r="A7" s="54" t="s">
        <v>4</v>
      </c>
      <c r="B7" s="38">
        <v>30</v>
      </c>
      <c r="C7" s="116">
        <v>6.0999999999999999E-2</v>
      </c>
      <c r="D7" s="116">
        <v>2.36</v>
      </c>
      <c r="E7" s="116">
        <v>0.28000000000000003</v>
      </c>
      <c r="F7" s="117">
        <f>IF($E$14="","",B7*$H$14)</f>
        <v>30</v>
      </c>
      <c r="G7" s="118">
        <f>IF($E$14="","",AC26*(F7/AB26)^AD26)</f>
        <v>6.0999999999999999E-2</v>
      </c>
      <c r="H7" s="118">
        <f>AE26+(F7-AB26)*AF26</f>
        <v>2.36</v>
      </c>
      <c r="I7" s="118">
        <f>AG26+(F7-AB26)*AH26</f>
        <v>0.28000000000000003</v>
      </c>
      <c r="AA7" s="147" t="s">
        <v>272</v>
      </c>
      <c r="AB7" s="111">
        <f>IF(A26="ordinaria",AB6,MAX(SQRT(10/(5+E13*100)),0.55))</f>
        <v>1</v>
      </c>
      <c r="AC7" s="112"/>
      <c r="AD7" s="110" t="s">
        <v>239</v>
      </c>
      <c r="AE7" s="110">
        <f>IF(A26="ordinaria",3,E23)</f>
        <v>3</v>
      </c>
      <c r="AL7" s="114" t="s">
        <v>273</v>
      </c>
      <c r="AM7" s="137"/>
      <c r="AN7" s="138"/>
      <c r="AO7" s="141">
        <f>IF(OR(D7="",C17="",E17=""),"",C17*H7)</f>
        <v>0.21593999999999999</v>
      </c>
      <c r="AP7" s="139"/>
      <c r="AQ7" s="137"/>
      <c r="AR7" s="138"/>
      <c r="AS7" s="141">
        <f>IF(OR(D8="",C18="",E18=""),"",C18*H8)</f>
        <v>0.28486799999999995</v>
      </c>
      <c r="AT7" s="139"/>
      <c r="AU7" s="137"/>
      <c r="AV7" s="138"/>
      <c r="AW7" s="141">
        <f>IF(OR(D9="",C19="",E19=""),"",C19*H9)</f>
        <v>0.80644625000000003</v>
      </c>
      <c r="AX7" s="139"/>
      <c r="AY7" s="137"/>
      <c r="AZ7" s="138"/>
      <c r="BA7" s="141">
        <f>IF(OR(D10="",C20="",E20=""),"",C20*H10)</f>
        <v>0.99685313338500015</v>
      </c>
      <c r="BG7" s="137"/>
      <c r="BH7" s="138"/>
      <c r="BI7" s="137"/>
      <c r="BJ7" s="138"/>
    </row>
    <row r="8" spans="1:62" ht="16.5" customHeight="1">
      <c r="A8" s="54" t="s">
        <v>5</v>
      </c>
      <c r="B8" s="38">
        <v>50</v>
      </c>
      <c r="C8" s="116">
        <v>8.2000000000000003E-2</v>
      </c>
      <c r="D8" s="116">
        <v>2.3159999999999998</v>
      </c>
      <c r="E8" s="116">
        <v>0.29199999999999998</v>
      </c>
      <c r="F8" s="117">
        <f t="shared" ref="F8:F10" si="0">IF($E$14="","",B8*$H$14)</f>
        <v>50</v>
      </c>
      <c r="G8" s="118">
        <f t="shared" ref="G8:G10" si="1">IF($E$14="","",AC27*(F8/AB27)^AD27)</f>
        <v>8.2000000000000003E-2</v>
      </c>
      <c r="H8" s="118">
        <f t="shared" ref="H8:H10" si="2">AE27+(F8-AB27)*AF27</f>
        <v>2.3159999999999998</v>
      </c>
      <c r="I8" s="118">
        <f t="shared" ref="I8:I10" si="3">AG27+(F8-AB27)*AH27</f>
        <v>0.29199999999999998</v>
      </c>
      <c r="AA8" s="110"/>
      <c r="AB8" s="111"/>
      <c r="AC8" s="112"/>
      <c r="AD8" s="110"/>
      <c r="AE8" s="110"/>
      <c r="AL8" s="114" t="s">
        <v>151</v>
      </c>
      <c r="AM8" s="137"/>
      <c r="AN8" s="138"/>
      <c r="AO8" s="138">
        <f>D7</f>
        <v>2.36</v>
      </c>
      <c r="AP8" s="139"/>
      <c r="AQ8" s="137"/>
      <c r="AR8" s="138"/>
      <c r="AS8" s="138">
        <f>D8</f>
        <v>2.3159999999999998</v>
      </c>
      <c r="AT8" s="139"/>
      <c r="AU8" s="137"/>
      <c r="AV8" s="138"/>
      <c r="AW8" s="138">
        <f>D9</f>
        <v>2.41</v>
      </c>
      <c r="AX8" s="139"/>
      <c r="AY8" s="137"/>
      <c r="AZ8" s="138"/>
      <c r="BA8" s="138">
        <f>D10</f>
        <v>2.4449999999999998</v>
      </c>
      <c r="BC8" s="137"/>
      <c r="BD8" s="138"/>
      <c r="BE8" s="138"/>
      <c r="BF8" s="138"/>
      <c r="BG8" s="137"/>
      <c r="BH8" s="138"/>
      <c r="BI8" s="137"/>
      <c r="BJ8" s="138"/>
    </row>
    <row r="9" spans="1:62" ht="16.5" customHeight="1">
      <c r="A9" s="54" t="s">
        <v>6</v>
      </c>
      <c r="B9" s="38">
        <v>475</v>
      </c>
      <c r="C9" s="116">
        <v>0.25</v>
      </c>
      <c r="D9" s="116">
        <v>2.41</v>
      </c>
      <c r="E9" s="116">
        <v>0.36</v>
      </c>
      <c r="F9" s="117">
        <f t="shared" si="0"/>
        <v>475</v>
      </c>
      <c r="G9" s="118">
        <f t="shared" si="1"/>
        <v>0.25</v>
      </c>
      <c r="H9" s="118">
        <f t="shared" si="2"/>
        <v>2.41</v>
      </c>
      <c r="I9" s="118">
        <f t="shared" si="3"/>
        <v>0.36</v>
      </c>
      <c r="AA9" s="156" t="s">
        <v>156</v>
      </c>
      <c r="AB9" s="156"/>
      <c r="AC9" s="156"/>
      <c r="AD9" s="110"/>
      <c r="AE9" s="110"/>
      <c r="BC9" s="137"/>
      <c r="BD9" s="138"/>
      <c r="BE9" s="138"/>
      <c r="BF9" s="138"/>
      <c r="BG9" s="137"/>
      <c r="BH9" s="141">
        <f>BH10*BH1*AB6</f>
        <v>7.3416402911761353E-2</v>
      </c>
      <c r="BI9" s="142"/>
      <c r="BJ9" s="141">
        <f>BJ10*BJ1*AB6</f>
        <v>0.40668750000000004</v>
      </c>
    </row>
    <row r="10" spans="1:62" ht="16.5" customHeight="1">
      <c r="A10" s="54" t="s">
        <v>7</v>
      </c>
      <c r="B10" s="38">
        <v>975</v>
      </c>
      <c r="C10" s="116">
        <v>0.33900000000000002</v>
      </c>
      <c r="D10" s="116">
        <v>2.4449999999999998</v>
      </c>
      <c r="E10" s="116">
        <v>0.38300000000000001</v>
      </c>
      <c r="F10" s="117">
        <f t="shared" si="0"/>
        <v>975</v>
      </c>
      <c r="G10" s="118">
        <f t="shared" si="1"/>
        <v>0.33900000000000002</v>
      </c>
      <c r="H10" s="118">
        <f t="shared" si="2"/>
        <v>2.4449999999999998</v>
      </c>
      <c r="I10" s="118">
        <f t="shared" si="3"/>
        <v>0.38300000000000001</v>
      </c>
      <c r="AA10" s="112" t="str">
        <f>CONCATENATE(B3," - spettri elastici, ag/g")</f>
        <v>Piazza Cairoli, Messina - spettri elastici, ag/g</v>
      </c>
      <c r="BD10" s="138"/>
      <c r="BE10" s="138"/>
      <c r="BF10" s="138"/>
      <c r="BG10" s="137"/>
      <c r="BH10" s="138">
        <f>1.35*D8*C8^0.5</f>
        <v>0.89532198672879693</v>
      </c>
      <c r="BI10" s="137"/>
      <c r="BJ10" s="138">
        <f>1.35*D9*C9^0.5</f>
        <v>1.6267500000000001</v>
      </c>
    </row>
    <row r="11" spans="1:62" ht="16.5" customHeight="1">
      <c r="AA11" s="112" t="str">
        <f>CONCATENATE(B3," - spettri elastici, spo [mm]")</f>
        <v>Piazza Cairoli, Messina - spettri elastici, spo [mm]</v>
      </c>
      <c r="AM11" s="140" t="s">
        <v>261</v>
      </c>
    </row>
    <row r="12" spans="1:62" ht="16.5" customHeight="1">
      <c r="A12" s="54" t="s">
        <v>13</v>
      </c>
      <c r="B12" s="38" t="s">
        <v>14</v>
      </c>
      <c r="C12" s="119" t="str">
        <f>IF(B12=""," def. T1","")</f>
        <v/>
      </c>
      <c r="D12" s="54" t="s">
        <v>15</v>
      </c>
      <c r="E12" s="50">
        <v>0.5</v>
      </c>
      <c r="F12" s="120" t="str">
        <f>IF(OR(E12&lt;0,E12&gt;1),"errore","")</f>
        <v/>
      </c>
      <c r="BC12" s="140" t="s">
        <v>1</v>
      </c>
      <c r="BE12" s="140" t="s">
        <v>1</v>
      </c>
    </row>
    <row r="13" spans="1:62" ht="16.5" customHeight="1">
      <c r="A13" s="54" t="s">
        <v>276</v>
      </c>
      <c r="B13" s="121">
        <f>Forze!D17</f>
        <v>0.05</v>
      </c>
      <c r="C13" s="119" t="str">
        <f>IF(B13=""," def. 5%","")</f>
        <v/>
      </c>
      <c r="D13" s="151" t="s">
        <v>277</v>
      </c>
      <c r="E13" s="121" t="str">
        <f>IF(A26="ordinaria","",Forze!D18)</f>
        <v/>
      </c>
      <c r="AA13" s="156" t="s">
        <v>157</v>
      </c>
      <c r="AB13" s="156"/>
      <c r="AC13" s="156"/>
      <c r="AM13" s="143" t="s">
        <v>4</v>
      </c>
      <c r="AN13" s="105"/>
      <c r="AO13" s="105" t="s">
        <v>158</v>
      </c>
      <c r="AP13" s="105" t="s">
        <v>159</v>
      </c>
      <c r="AQ13" s="143" t="s">
        <v>5</v>
      </c>
      <c r="AR13" s="105"/>
      <c r="AU13" s="143" t="s">
        <v>6</v>
      </c>
      <c r="AV13" s="105"/>
      <c r="AY13" s="143" t="s">
        <v>7</v>
      </c>
      <c r="AZ13" s="105"/>
      <c r="BC13" s="143" t="s">
        <v>5</v>
      </c>
      <c r="BE13" s="105" t="s">
        <v>6</v>
      </c>
      <c r="BG13" s="143" t="s">
        <v>5</v>
      </c>
      <c r="BH13" s="105" t="s">
        <v>160</v>
      </c>
      <c r="BI13" s="143" t="s">
        <v>6</v>
      </c>
      <c r="BJ13" s="105" t="s">
        <v>160</v>
      </c>
    </row>
    <row r="14" spans="1:62" ht="16.5" customHeight="1">
      <c r="A14" s="54" t="s">
        <v>16</v>
      </c>
      <c r="B14" s="38" t="s">
        <v>17</v>
      </c>
      <c r="C14" s="119" t="str">
        <f>IF(B14=""," def. A","")</f>
        <v/>
      </c>
      <c r="D14" s="106" t="s">
        <v>161</v>
      </c>
      <c r="E14" s="123" t="s">
        <v>162</v>
      </c>
      <c r="G14" s="54" t="s">
        <v>240</v>
      </c>
      <c r="H14" s="124">
        <f>IF(E14="",1,IF(E14="I",0.7,IF(E14="II",1,IF(E14="III",1.5,2))))</f>
        <v>1</v>
      </c>
      <c r="AA14" s="110" t="s">
        <v>241</v>
      </c>
      <c r="AB14" s="110" t="s">
        <v>242</v>
      </c>
      <c r="AC14" s="110" t="s">
        <v>243</v>
      </c>
      <c r="AM14" s="143" t="s">
        <v>9</v>
      </c>
      <c r="AN14" s="105" t="s">
        <v>12</v>
      </c>
      <c r="AO14" s="105" t="s">
        <v>262</v>
      </c>
      <c r="AP14" s="105" t="s">
        <v>263</v>
      </c>
      <c r="AQ14" s="143" t="s">
        <v>9</v>
      </c>
      <c r="AR14" s="105" t="s">
        <v>12</v>
      </c>
      <c r="AS14" s="105" t="s">
        <v>262</v>
      </c>
      <c r="AT14" s="105" t="s">
        <v>263</v>
      </c>
      <c r="AU14" s="143" t="s">
        <v>9</v>
      </c>
      <c r="AV14" s="105" t="s">
        <v>12</v>
      </c>
      <c r="AW14" s="105" t="s">
        <v>262</v>
      </c>
      <c r="AX14" s="105" t="s">
        <v>263</v>
      </c>
      <c r="AY14" s="143" t="s">
        <v>9</v>
      </c>
      <c r="AZ14" s="105" t="s">
        <v>12</v>
      </c>
      <c r="BA14" s="105" t="s">
        <v>262</v>
      </c>
      <c r="BB14" s="105" t="s">
        <v>263</v>
      </c>
      <c r="BC14" s="143" t="s">
        <v>9</v>
      </c>
      <c r="BD14" s="105" t="s">
        <v>264</v>
      </c>
      <c r="BE14" s="105" t="s">
        <v>9</v>
      </c>
      <c r="BF14" s="105" t="s">
        <v>264</v>
      </c>
      <c r="BG14" s="143" t="s">
        <v>9</v>
      </c>
      <c r="BH14" s="105" t="s">
        <v>265</v>
      </c>
      <c r="BI14" s="143" t="s">
        <v>9</v>
      </c>
      <c r="BJ14" s="105" t="s">
        <v>265</v>
      </c>
    </row>
    <row r="15" spans="1:62" ht="16.5" customHeight="1">
      <c r="AA15" s="110">
        <f>IF(B23="",-1,B23)</f>
        <v>0.61099999999999999</v>
      </c>
      <c r="AB15" s="111">
        <f>IF($B$23="","",H23)</f>
        <v>0.15815286613930676</v>
      </c>
      <c r="AC15" s="114">
        <f>I23</f>
        <v>14.671305416491508</v>
      </c>
      <c r="AL15" s="125">
        <v>0</v>
      </c>
      <c r="AM15" s="137">
        <v>0</v>
      </c>
      <c r="AN15" s="138">
        <f t="shared" ref="AN15:AN42" si="4">$AH$34</f>
        <v>1</v>
      </c>
      <c r="AO15" s="141">
        <f>AO$1</f>
        <v>9.1499999999999998E-2</v>
      </c>
      <c r="AP15" s="139">
        <f>AO15*9.81*(AM15)^2*$AL$135</f>
        <v>0</v>
      </c>
      <c r="AQ15" s="137">
        <v>0</v>
      </c>
      <c r="AR15" s="138">
        <f t="shared" ref="AR15:AR42" si="5">$AI$34</f>
        <v>1</v>
      </c>
      <c r="AS15" s="141">
        <f>AS$1</f>
        <v>0.123</v>
      </c>
      <c r="AT15" s="139">
        <f>AS15*9.81*(AQ15)^2*$AL$135</f>
        <v>0</v>
      </c>
      <c r="AU15" s="137">
        <v>0</v>
      </c>
      <c r="AV15" s="138">
        <f t="shared" ref="AV15:AV42" si="6">$AJ$34</f>
        <v>1</v>
      </c>
      <c r="AW15" s="141">
        <f>AW$1</f>
        <v>0.33462500000000001</v>
      </c>
      <c r="AX15" s="139">
        <f>AW15*9.81*(AU15)^2*$AL$135</f>
        <v>0</v>
      </c>
      <c r="AY15" s="137">
        <v>0</v>
      </c>
      <c r="AZ15" s="138">
        <f t="shared" ref="AZ15:AZ42" si="7">$AK$34</f>
        <v>1</v>
      </c>
      <c r="BA15" s="141">
        <f>BA$1</f>
        <v>0.40771089300000007</v>
      </c>
      <c r="BB15" s="139">
        <f>BA15*9.81*(AY15)^2*$AL$135</f>
        <v>0</v>
      </c>
      <c r="BC15" s="137">
        <f>AQ15</f>
        <v>0</v>
      </c>
      <c r="BD15" s="138">
        <f>AS15</f>
        <v>0.123</v>
      </c>
      <c r="BE15" s="138">
        <f t="shared" ref="BE15:BE78" si="8">IF($B$29="",-1,AU15)</f>
        <v>0</v>
      </c>
      <c r="BF15" s="138">
        <f>AW15</f>
        <v>0.33462500000000001</v>
      </c>
      <c r="BG15" s="137">
        <v>0</v>
      </c>
      <c r="BH15" s="141">
        <f>BH$1</f>
        <v>8.2000000000000003E-2</v>
      </c>
      <c r="BI15" s="137">
        <v>0</v>
      </c>
      <c r="BJ15" s="141">
        <f>BJ$1</f>
        <v>0.25</v>
      </c>
    </row>
    <row r="16" spans="1:62" ht="16.5" customHeight="1">
      <c r="A16" s="54" t="s">
        <v>18</v>
      </c>
      <c r="B16" s="126" t="s">
        <v>19</v>
      </c>
      <c r="C16" s="54" t="s">
        <v>244</v>
      </c>
      <c r="D16" s="54" t="s">
        <v>245</v>
      </c>
      <c r="E16" s="54" t="s">
        <v>246</v>
      </c>
      <c r="F16" s="54" t="s">
        <v>247</v>
      </c>
      <c r="G16" s="54" t="s">
        <v>248</v>
      </c>
      <c r="H16" s="54" t="s">
        <v>249</v>
      </c>
      <c r="AA16" s="110">
        <f>$AA$15</f>
        <v>0.61099999999999999</v>
      </c>
      <c r="AB16" s="111">
        <f>IF($B$23="","",H24)</f>
        <v>0.21458445911663462</v>
      </c>
      <c r="AC16" s="114">
        <f>I24</f>
        <v>19.906273052046391</v>
      </c>
      <c r="AL16" s="111" t="s">
        <v>250</v>
      </c>
      <c r="AM16" s="137">
        <f>$AH$6</f>
        <v>0</v>
      </c>
      <c r="AN16" s="138">
        <f t="shared" si="4"/>
        <v>1</v>
      </c>
      <c r="AO16" s="141">
        <f t="shared" ref="AO16" si="9">AO15</f>
        <v>9.1499999999999998E-2</v>
      </c>
      <c r="AP16" s="139">
        <f>AO16*9.81*(AM16)^2*$AL$135</f>
        <v>0</v>
      </c>
      <c r="AQ16" s="137">
        <f>$AH$6</f>
        <v>0</v>
      </c>
      <c r="AR16" s="138">
        <f t="shared" si="5"/>
        <v>1</v>
      </c>
      <c r="AS16" s="141">
        <f t="shared" ref="AS16" si="10">AS15</f>
        <v>0.123</v>
      </c>
      <c r="AT16" s="139">
        <f>AS16*9.81*(AQ16)^2*$AL$135</f>
        <v>0</v>
      </c>
      <c r="AU16" s="137">
        <f>$AH$6</f>
        <v>0</v>
      </c>
      <c r="AV16" s="138">
        <f t="shared" si="6"/>
        <v>1</v>
      </c>
      <c r="AW16" s="141">
        <f t="shared" ref="AW16" si="11">AW15</f>
        <v>0.33462500000000001</v>
      </c>
      <c r="AX16" s="139">
        <f>AW16*9.81*(AU16)^2*$AL$135</f>
        <v>0</v>
      </c>
      <c r="AY16" s="137">
        <f>$AH$6</f>
        <v>0</v>
      </c>
      <c r="AZ16" s="138">
        <f t="shared" si="7"/>
        <v>1</v>
      </c>
      <c r="BA16" s="141">
        <f t="shared" ref="BA16" si="12">BA15</f>
        <v>0.40771089300000007</v>
      </c>
      <c r="BB16" s="139">
        <f>BA16*9.81*(AY16)^2*$AL$135</f>
        <v>0</v>
      </c>
      <c r="BC16" s="137">
        <f t="shared" ref="BC16:BF16" si="13">BC15</f>
        <v>0</v>
      </c>
      <c r="BD16" s="138">
        <f t="shared" si="13"/>
        <v>0.123</v>
      </c>
      <c r="BE16" s="138">
        <f t="shared" si="8"/>
        <v>0</v>
      </c>
      <c r="BF16" s="138">
        <f t="shared" si="13"/>
        <v>0.33462500000000001</v>
      </c>
      <c r="BG16" s="137">
        <f>BG15</f>
        <v>0</v>
      </c>
      <c r="BH16" s="141">
        <f t="shared" ref="BH16:BJ16" si="14">BH15</f>
        <v>8.2000000000000003E-2</v>
      </c>
      <c r="BI16" s="137">
        <f>BI15</f>
        <v>0</v>
      </c>
      <c r="BJ16" s="141">
        <f t="shared" si="14"/>
        <v>0.25</v>
      </c>
    </row>
    <row r="17" spans="1:62" ht="16.5" customHeight="1">
      <c r="A17" s="54" t="s">
        <v>4</v>
      </c>
      <c r="B17" s="127">
        <f>IF(OR(G7="",H7=""),"",MAX($AD$3,MIN($AE$3,$AB$3-$AC$3*H7*G7))*IF(OR($B$12="T1",$B$12=""),1,IF($B$12="T4",1+0.4*$E$12,1+0.2*$E$12)))</f>
        <v>1.5</v>
      </c>
      <c r="C17" s="127">
        <f>IF(B17="","",B17*G7)</f>
        <v>9.1499999999999998E-2</v>
      </c>
      <c r="D17" s="127">
        <f>IF(E17="","",E17/3)</f>
        <v>0.14916396716852898</v>
      </c>
      <c r="E17" s="127">
        <f>IF(I7="","",$AB$5*I7^(-$AC$5)*I7)</f>
        <v>0.44749190150558693</v>
      </c>
      <c r="F17" s="127">
        <f>IF(G7="","",4*G7+1.6)</f>
        <v>1.8440000000000001</v>
      </c>
      <c r="G17" s="128">
        <f>IF(OR($B$14="A",$B$14=""),4.5,IF($B$14="B",5,6))</f>
        <v>6</v>
      </c>
      <c r="H17" s="127">
        <f>IF(OR(H7="",C17="",E17=""),"",C17*H7*IF($A$26="ordinaria",$AB$6,IF(E17&lt;$E$23,$AB$6,$AB$7)))</f>
        <v>0.21593999999999999</v>
      </c>
      <c r="AA17" s="110">
        <f>$AA$15</f>
        <v>0.61099999999999999</v>
      </c>
      <c r="AB17" s="111">
        <f>IF($B$23="","",H25)</f>
        <v>0.69895013179366716</v>
      </c>
      <c r="AC17" s="114">
        <f>I25</f>
        <v>64.839235005765488</v>
      </c>
      <c r="AM17" s="137">
        <f>(AM16+AM18)/2</f>
        <v>7.4581983584264488E-2</v>
      </c>
      <c r="AN17" s="138">
        <f t="shared" si="4"/>
        <v>1</v>
      </c>
      <c r="AO17" s="141">
        <f>(AO16+AO18)/2</f>
        <v>0.15372</v>
      </c>
      <c r="AP17" s="139">
        <f t="shared" ref="AP17:AP80" si="15">AO17*9.81*(AM17)^2*$AL$135</f>
        <v>0.21247483753023669</v>
      </c>
      <c r="AQ17" s="137">
        <f>(AQ16+AQ18)/2</f>
        <v>7.6708688772966063E-2</v>
      </c>
      <c r="AR17" s="138">
        <f t="shared" si="5"/>
        <v>1</v>
      </c>
      <c r="AS17" s="141">
        <f>(AS16+AS18)/2</f>
        <v>0.20393399999999998</v>
      </c>
      <c r="AT17" s="139">
        <f t="shared" ref="AT17:AT80" si="16">AS17*9.81*(AQ17)^2*$AL$135</f>
        <v>0.29818653376555521</v>
      </c>
      <c r="AU17" s="137">
        <f>(AU16+AU18)/2</f>
        <v>8.8259349900035824E-2</v>
      </c>
      <c r="AV17" s="138">
        <f t="shared" si="6"/>
        <v>1</v>
      </c>
      <c r="AW17" s="141">
        <f>(AW16+AW18)/2</f>
        <v>0.57053562499999999</v>
      </c>
      <c r="AX17" s="139">
        <f t="shared" ref="AX17:AX80" si="17">AW17*9.81*(AU17)^2*$AL$135</f>
        <v>1.104367167173713</v>
      </c>
      <c r="AY17" s="137">
        <f>(AY16+AY18)/2</f>
        <v>9.199860185971169E-2</v>
      </c>
      <c r="AZ17" s="138">
        <f t="shared" si="7"/>
        <v>1</v>
      </c>
      <c r="BA17" s="141">
        <f>(BA16+BA18)/2</f>
        <v>0.70228201319250005</v>
      </c>
      <c r="BB17" s="139">
        <f t="shared" ref="BB17:BB80" si="18">BA17*9.81*(AY17)^2*$AL$135</f>
        <v>1.4770094385138677</v>
      </c>
      <c r="BC17" s="137">
        <f t="shared" ref="BC17:BC116" si="19">AQ17</f>
        <v>7.6708688772966063E-2</v>
      </c>
      <c r="BD17" s="138">
        <f>(BD15+BD18)/2</f>
        <v>0.15645599999999998</v>
      </c>
      <c r="BE17" s="138">
        <f t="shared" si="8"/>
        <v>8.8259349900035824E-2</v>
      </c>
      <c r="BF17" s="138">
        <f>(BF15+BF18)/2</f>
        <v>0.25310465425531914</v>
      </c>
      <c r="BG17" s="137">
        <f>(BG15+BG18)/2</f>
        <v>2.5000000000000001E-2</v>
      </c>
      <c r="BH17" s="141">
        <f>(BH15+BH18)/2</f>
        <v>7.7708201455880671E-2</v>
      </c>
      <c r="BI17" s="137">
        <f>(BI15+BI18)/2</f>
        <v>2.5000000000000001E-2</v>
      </c>
      <c r="BJ17" s="141">
        <f>(BJ15+BJ18)/2</f>
        <v>0.32834375000000005</v>
      </c>
    </row>
    <row r="18" spans="1:62" ht="16.5" customHeight="1">
      <c r="A18" s="54" t="s">
        <v>5</v>
      </c>
      <c r="B18" s="127">
        <f>IF(OR(G8="",H8=""),"",MAX($AD$3,MIN($AE$3,$AB$3-$AC$3*H8*G8))*IF(OR($B$12="T1",$B$12=""),1,IF($B$12="T4",1+0.4*$E$12,1+0.2*$E$12)))</f>
        <v>1.5</v>
      </c>
      <c r="C18" s="127">
        <f>IF(B18="","",B18*G8)</f>
        <v>0.123</v>
      </c>
      <c r="D18" s="127">
        <f t="shared" ref="D18:D20" si="20">IF(E18="","",E18/3)</f>
        <v>0.15341737754593213</v>
      </c>
      <c r="E18" s="127">
        <f>IF(I8="","",$AB$5*I8^(-$AC$5)*I8)</f>
        <v>0.46025213263779635</v>
      </c>
      <c r="F18" s="127">
        <f>IF(G8="","",4*G8+1.6)</f>
        <v>1.9280000000000002</v>
      </c>
      <c r="G18" s="128">
        <f>IF(OR($B$14="A",$B$14=""),4.5,IF($B$14="B",5,6))</f>
        <v>6</v>
      </c>
      <c r="H18" s="127">
        <f>IF(OR(H8="",C18="",E18=""),"",C18*H8*IF($A$26="ordinaria",$AB$6,IF(E18&lt;$E$23,$AB$6,$AB$7)))</f>
        <v>0.28486799999999995</v>
      </c>
      <c r="AA18" s="110">
        <f>$AA$15</f>
        <v>0.61099999999999999</v>
      </c>
      <c r="AB18" s="111">
        <f>IF($B$23="","",H26)</f>
        <v>0.90058030635901176</v>
      </c>
      <c r="AC18" s="114">
        <f>I26</f>
        <v>83.543782981664961</v>
      </c>
      <c r="AL18" s="111" t="s">
        <v>222</v>
      </c>
      <c r="AM18" s="137">
        <f>AO$2</f>
        <v>0.14916396716852898</v>
      </c>
      <c r="AN18" s="138">
        <f t="shared" si="4"/>
        <v>1</v>
      </c>
      <c r="AO18" s="141">
        <f>AO$7*AN18</f>
        <v>0.21593999999999999</v>
      </c>
      <c r="AP18" s="139">
        <f t="shared" si="15"/>
        <v>1.193906229931806</v>
      </c>
      <c r="AQ18" s="137">
        <f>AS$2</f>
        <v>0.15341737754593213</v>
      </c>
      <c r="AR18" s="138">
        <f t="shared" si="5"/>
        <v>1</v>
      </c>
      <c r="AS18" s="141">
        <f>AS$7*AR18</f>
        <v>0.28486799999999995</v>
      </c>
      <c r="AT18" s="139">
        <f t="shared" si="16"/>
        <v>1.6661037688806417</v>
      </c>
      <c r="AU18" s="137">
        <f>AW$2</f>
        <v>0.17651869980007165</v>
      </c>
      <c r="AV18" s="138">
        <f t="shared" si="6"/>
        <v>1</v>
      </c>
      <c r="AW18" s="141">
        <f>AW$7*AV18</f>
        <v>0.80644625000000003</v>
      </c>
      <c r="AX18" s="139">
        <f t="shared" si="17"/>
        <v>6.2440466226126645</v>
      </c>
      <c r="AY18" s="137">
        <f>BA$2</f>
        <v>0.18399720371942338</v>
      </c>
      <c r="AZ18" s="138">
        <f t="shared" si="7"/>
        <v>1</v>
      </c>
      <c r="BA18" s="141">
        <f>BA$7*AZ18</f>
        <v>0.99685313338500015</v>
      </c>
      <c r="BB18" s="139">
        <f t="shared" si="18"/>
        <v>8.3861551864531947</v>
      </c>
      <c r="BC18" s="137">
        <f t="shared" si="19"/>
        <v>0.15341737754593213</v>
      </c>
      <c r="BD18" s="138">
        <f>AS18/1.5</f>
        <v>0.18991199999999997</v>
      </c>
      <c r="BE18" s="138">
        <f t="shared" si="8"/>
        <v>0.17651869980007165</v>
      </c>
      <c r="BF18" s="138">
        <f t="shared" ref="BF18:BF81" si="21">IF($A$26="ordinaria",MAX(AW18/$AB$6/IF($B$29="",1,$B$29),0.2*$C$9),AW18/$B$29)</f>
        <v>0.1715843085106383</v>
      </c>
      <c r="BG18" s="137">
        <f>BH$2</f>
        <v>0.05</v>
      </c>
      <c r="BH18" s="141">
        <f>BH$9</f>
        <v>7.3416402911761353E-2</v>
      </c>
      <c r="BI18" s="137">
        <f>BJ$2</f>
        <v>0.05</v>
      </c>
      <c r="BJ18" s="141">
        <f>BJ$9</f>
        <v>0.40668750000000004</v>
      </c>
    </row>
    <row r="19" spans="1:62" ht="16.5" customHeight="1">
      <c r="A19" s="54" t="s">
        <v>6</v>
      </c>
      <c r="B19" s="127">
        <f>IF(OR(G9="",H9=""),"",MAX($AD$3,MIN($AE$3,$AB$3-$AC$3*H9*G9))*IF(OR($B$12="T1",$B$12=""),1,IF($B$12="T4",1+0.4*$E$12,1+0.2*$E$12)))</f>
        <v>1.3385</v>
      </c>
      <c r="C19" s="127">
        <f>IF(B19="","",B19*G9)</f>
        <v>0.33462500000000001</v>
      </c>
      <c r="D19" s="127">
        <f t="shared" si="20"/>
        <v>0.17651869980007165</v>
      </c>
      <c r="E19" s="127">
        <f>IF(I9="","",$AB$5*I9^(-$AC$5)*I9)</f>
        <v>0.52955609940021497</v>
      </c>
      <c r="F19" s="127">
        <f>IF(G9="","",4*G9+1.6)</f>
        <v>2.6</v>
      </c>
      <c r="G19" s="128">
        <f>IF(OR($B$14="A",$B$14=""),4.5,IF($B$14="B",5,6))</f>
        <v>6</v>
      </c>
      <c r="H19" s="127">
        <f>IF(OR(H9="",C19="",E19=""),"",C19*H9*IF($A$26="ordinaria",$AB$6,IF(E19&lt;$E$23,$AB$6,$AB$7)))</f>
        <v>0.80644625000000003</v>
      </c>
      <c r="AA19" s="156" t="s">
        <v>163</v>
      </c>
      <c r="AB19" s="156"/>
      <c r="AC19" s="156"/>
      <c r="AE19" s="112" t="s">
        <v>164</v>
      </c>
      <c r="AM19" s="137">
        <f>AM18+(AM$22-AM$18)/4</f>
        <v>0.22374595075279347</v>
      </c>
      <c r="AN19" s="138">
        <f t="shared" si="4"/>
        <v>1</v>
      </c>
      <c r="AO19" s="141">
        <f>AO$18</f>
        <v>0.21593999999999999</v>
      </c>
      <c r="AP19" s="139">
        <f t="shared" si="15"/>
        <v>2.6862890173465641</v>
      </c>
      <c r="AQ19" s="137">
        <f>AQ18+(AQ$22-AQ$18)/4</f>
        <v>0.23012606631889818</v>
      </c>
      <c r="AR19" s="138">
        <f t="shared" si="5"/>
        <v>1</v>
      </c>
      <c r="AS19" s="141">
        <f>AS$18</f>
        <v>0.28486799999999995</v>
      </c>
      <c r="AT19" s="139">
        <f t="shared" si="16"/>
        <v>3.7487334799814431</v>
      </c>
      <c r="AU19" s="137">
        <f>AU18+(AU$22-AU$18)/4</f>
        <v>0.26477804970010749</v>
      </c>
      <c r="AV19" s="138">
        <f t="shared" si="6"/>
        <v>1</v>
      </c>
      <c r="AW19" s="141">
        <f>AW$18</f>
        <v>0.80644625000000003</v>
      </c>
      <c r="AX19" s="139">
        <f t="shared" si="17"/>
        <v>14.049104900878497</v>
      </c>
      <c r="AY19" s="137">
        <f>AY18+(AY$22-AY$18)/4</f>
        <v>0.27599580557913506</v>
      </c>
      <c r="AZ19" s="138">
        <f t="shared" si="7"/>
        <v>1</v>
      </c>
      <c r="BA19" s="141">
        <f>BA$18</f>
        <v>0.99685313338500015</v>
      </c>
      <c r="BB19" s="139">
        <f t="shared" si="18"/>
        <v>18.868849169519684</v>
      </c>
      <c r="BC19" s="137">
        <f t="shared" si="19"/>
        <v>0.23012606631889818</v>
      </c>
      <c r="BD19" s="138">
        <f>BD$18</f>
        <v>0.18991199999999997</v>
      </c>
      <c r="BE19" s="138">
        <f t="shared" si="8"/>
        <v>0.26477804970010749</v>
      </c>
      <c r="BF19" s="138">
        <f t="shared" si="21"/>
        <v>0.1715843085106383</v>
      </c>
      <c r="BG19" s="137">
        <f>BG18+(BG$22-BG$18)/4</f>
        <v>7.4999999999999997E-2</v>
      </c>
      <c r="BH19" s="141">
        <f>BH$18</f>
        <v>7.3416402911761353E-2</v>
      </c>
      <c r="BI19" s="137">
        <f>BI18+(BI$22-BI$18)/4</f>
        <v>7.4999999999999997E-2</v>
      </c>
      <c r="BJ19" s="141">
        <f>BJ$18</f>
        <v>0.40668750000000004</v>
      </c>
    </row>
    <row r="20" spans="1:62" ht="16.5" customHeight="1">
      <c r="A20" s="54" t="s">
        <v>7</v>
      </c>
      <c r="B20" s="127">
        <f>IF(OR(G10="",H10=""),"",MAX($AD$3,MIN($AE$3,$AB$3-$AC$3*H10*G10))*IF(OR($B$12="T1",$B$12=""),1,IF($B$12="T4",1+0.4*$E$12,1+0.2*$E$12)))</f>
        <v>1.2026870000000001</v>
      </c>
      <c r="C20" s="127">
        <f>IF(B20="","",B20*G10)</f>
        <v>0.40771089300000007</v>
      </c>
      <c r="D20" s="127">
        <f t="shared" si="20"/>
        <v>0.18399720371942338</v>
      </c>
      <c r="E20" s="127">
        <f>IF(I10="","",$AB$5*I10^(-$AC$5)*I10)</f>
        <v>0.55199161115827011</v>
      </c>
      <c r="F20" s="127">
        <f>IF(G10="","",4*G10+1.6)</f>
        <v>2.9560000000000004</v>
      </c>
      <c r="G20" s="128">
        <f>IF(OR($B$14="A",$B$14=""),4.5,IF($B$14="B",5,6))</f>
        <v>6</v>
      </c>
      <c r="H20" s="127">
        <f>IF(OR(H10="",C20="",E20=""),"",C20*H10*IF($A$26="ordinaria",$AB$6,IF(E20&lt;$E$23,$AB$6,$AB$7)))</f>
        <v>0.99685313338500015</v>
      </c>
      <c r="AA20" s="110" t="s">
        <v>241</v>
      </c>
      <c r="AB20" s="110" t="s">
        <v>242</v>
      </c>
      <c r="AE20" s="112" t="s">
        <v>274</v>
      </c>
      <c r="AL20" s="111"/>
      <c r="AM20" s="137">
        <f>AM19+(AM$22-AM$18)/4</f>
        <v>0.29832793433705795</v>
      </c>
      <c r="AN20" s="138">
        <f t="shared" si="4"/>
        <v>1</v>
      </c>
      <c r="AO20" s="141">
        <f>AO$18</f>
        <v>0.21593999999999999</v>
      </c>
      <c r="AP20" s="139">
        <f t="shared" si="15"/>
        <v>4.7756249197272238</v>
      </c>
      <c r="AQ20" s="137">
        <f>AQ19+(AQ$22-AQ$18)/4</f>
        <v>0.3068347550918642</v>
      </c>
      <c r="AR20" s="138">
        <f t="shared" si="5"/>
        <v>1</v>
      </c>
      <c r="AS20" s="141">
        <f>AS$18</f>
        <v>0.28486799999999995</v>
      </c>
      <c r="AT20" s="139">
        <f t="shared" si="16"/>
        <v>6.6644150755225624</v>
      </c>
      <c r="AU20" s="137">
        <f>AU19+(AU$22-AU$18)/4</f>
        <v>0.35303739960014335</v>
      </c>
      <c r="AV20" s="138">
        <f t="shared" si="6"/>
        <v>1</v>
      </c>
      <c r="AW20" s="141">
        <f>AW$18</f>
        <v>0.80644625000000003</v>
      </c>
      <c r="AX20" s="139">
        <f t="shared" si="17"/>
        <v>24.976186490450669</v>
      </c>
      <c r="AY20" s="137">
        <f>AY19+(AY$22-AY$18)/4</f>
        <v>0.3679944074388467</v>
      </c>
      <c r="AZ20" s="138">
        <f t="shared" si="7"/>
        <v>1</v>
      </c>
      <c r="BA20" s="141">
        <f>BA$18</f>
        <v>0.99685313338500015</v>
      </c>
      <c r="BB20" s="139">
        <f t="shared" si="18"/>
        <v>33.544620745812757</v>
      </c>
      <c r="BC20" s="137">
        <f t="shared" si="19"/>
        <v>0.3068347550918642</v>
      </c>
      <c r="BD20" s="138">
        <f>BD$18</f>
        <v>0.18991199999999997</v>
      </c>
      <c r="BE20" s="138">
        <f t="shared" si="8"/>
        <v>0.35303739960014335</v>
      </c>
      <c r="BF20" s="138">
        <f t="shared" si="21"/>
        <v>0.1715843085106383</v>
      </c>
      <c r="BG20" s="137">
        <f>BG19+(BG$22-BG$18)/4</f>
        <v>9.9999999999999992E-2</v>
      </c>
      <c r="BH20" s="141">
        <f>BH$18</f>
        <v>7.3416402911761353E-2</v>
      </c>
      <c r="BI20" s="137">
        <f>BI19+(BI$22-BI$18)/4</f>
        <v>9.9999999999999992E-2</v>
      </c>
      <c r="BJ20" s="141">
        <f>BJ$18</f>
        <v>0.40668750000000004</v>
      </c>
    </row>
    <row r="21" spans="1:62" ht="16.5" customHeight="1">
      <c r="AA21" s="110">
        <f>AA15</f>
        <v>0.61099999999999999</v>
      </c>
      <c r="AB21" s="111">
        <f>IF($B$23="","",H25)</f>
        <v>0.69895013179366716</v>
      </c>
      <c r="AE21" s="112" t="s">
        <v>275</v>
      </c>
      <c r="AL21" s="111"/>
      <c r="AM21" s="137">
        <f>AM20+(AM$22-AM$18)/4</f>
        <v>0.37290991792132244</v>
      </c>
      <c r="AN21" s="138">
        <f t="shared" si="4"/>
        <v>1</v>
      </c>
      <c r="AO21" s="141">
        <f>AO$18</f>
        <v>0.21593999999999999</v>
      </c>
      <c r="AP21" s="139">
        <f t="shared" si="15"/>
        <v>7.4619139370737892</v>
      </c>
      <c r="AQ21" s="137">
        <f>AQ20+(AQ$22-AQ$18)/4</f>
        <v>0.38354344386483025</v>
      </c>
      <c r="AR21" s="138">
        <f t="shared" si="5"/>
        <v>1</v>
      </c>
      <c r="AS21" s="141">
        <f>AS$18</f>
        <v>0.28486799999999995</v>
      </c>
      <c r="AT21" s="139">
        <f t="shared" si="16"/>
        <v>10.413148555504005</v>
      </c>
      <c r="AU21" s="137">
        <f>AU20+(AU$22-AU$18)/4</f>
        <v>0.44129674950017916</v>
      </c>
      <c r="AV21" s="138">
        <f t="shared" si="6"/>
        <v>1</v>
      </c>
      <c r="AW21" s="141">
        <f>AW$18</f>
        <v>0.80644625000000003</v>
      </c>
      <c r="AX21" s="139">
        <f t="shared" si="17"/>
        <v>39.025291391329162</v>
      </c>
      <c r="AY21" s="137">
        <f>AY20+(AY$22-AY$18)/4</f>
        <v>0.45999300929855835</v>
      </c>
      <c r="AZ21" s="138">
        <f t="shared" si="7"/>
        <v>1</v>
      </c>
      <c r="BA21" s="141">
        <f>BA$18</f>
        <v>0.99685313338500015</v>
      </c>
      <c r="BB21" s="139">
        <f t="shared" si="18"/>
        <v>52.413469915332435</v>
      </c>
      <c r="BC21" s="137">
        <f t="shared" si="19"/>
        <v>0.38354344386483025</v>
      </c>
      <c r="BD21" s="138">
        <f>BD$18</f>
        <v>0.18991199999999997</v>
      </c>
      <c r="BE21" s="138">
        <f t="shared" si="8"/>
        <v>0.44129674950017916</v>
      </c>
      <c r="BF21" s="138">
        <f t="shared" si="21"/>
        <v>0.1715843085106383</v>
      </c>
      <c r="BG21" s="137">
        <f>BG20+(BG$22-BG$18)/4</f>
        <v>0.12499999999999999</v>
      </c>
      <c r="BH21" s="141">
        <f>BH$18</f>
        <v>7.3416402911761353E-2</v>
      </c>
      <c r="BI21" s="137">
        <f>BI20+(BI$22-BI$18)/4</f>
        <v>0.12499999999999999</v>
      </c>
      <c r="BJ21" s="141">
        <f>BJ$18</f>
        <v>0.40668750000000004</v>
      </c>
    </row>
    <row r="22" spans="1:62" ht="16.5" customHeight="1">
      <c r="H22" s="54" t="s">
        <v>251</v>
      </c>
      <c r="I22" s="54" t="s">
        <v>252</v>
      </c>
      <c r="AA22" s="110">
        <f>IF($B$29="",-1,AA16)</f>
        <v>0.61099999999999999</v>
      </c>
      <c r="AB22" s="111">
        <f>IF($B$23="","",H29)</f>
        <v>0.14871279399865259</v>
      </c>
      <c r="AE22" s="112" t="s">
        <v>165</v>
      </c>
      <c r="AL22" s="111" t="s">
        <v>224</v>
      </c>
      <c r="AM22" s="137">
        <f>AO$3</f>
        <v>0.44749190150558693</v>
      </c>
      <c r="AN22" s="138">
        <f t="shared" si="4"/>
        <v>1</v>
      </c>
      <c r="AO22" s="141">
        <f>AO$18</f>
        <v>0.21593999999999999</v>
      </c>
      <c r="AP22" s="139">
        <f t="shared" si="15"/>
        <v>10.745156069386256</v>
      </c>
      <c r="AQ22" s="137">
        <f>AS$3</f>
        <v>0.46025213263779635</v>
      </c>
      <c r="AR22" s="138">
        <f t="shared" si="5"/>
        <v>1</v>
      </c>
      <c r="AS22" s="141">
        <f>AS$18</f>
        <v>0.28486799999999995</v>
      </c>
      <c r="AT22" s="139">
        <f t="shared" si="16"/>
        <v>14.994933919925773</v>
      </c>
      <c r="AU22" s="137">
        <f>AW$3</f>
        <v>0.52955609940021497</v>
      </c>
      <c r="AV22" s="138">
        <f t="shared" si="6"/>
        <v>1</v>
      </c>
      <c r="AW22" s="141">
        <f>AW$18</f>
        <v>0.80644625000000003</v>
      </c>
      <c r="AX22" s="139">
        <f t="shared" si="17"/>
        <v>56.196419603513988</v>
      </c>
      <c r="AY22" s="137">
        <f>BA$3</f>
        <v>0.55199161115827011</v>
      </c>
      <c r="AZ22" s="138">
        <f t="shared" si="7"/>
        <v>1</v>
      </c>
      <c r="BA22" s="141">
        <f>BA$18</f>
        <v>0.99685313338500015</v>
      </c>
      <c r="BB22" s="139">
        <f t="shared" si="18"/>
        <v>75.475396678078738</v>
      </c>
      <c r="BC22" s="137">
        <f t="shared" si="19"/>
        <v>0.46025213263779635</v>
      </c>
      <c r="BD22" s="138">
        <f>BD$18</f>
        <v>0.18991199999999997</v>
      </c>
      <c r="BE22" s="138">
        <f t="shared" si="8"/>
        <v>0.52955609940021497</v>
      </c>
      <c r="BF22" s="138">
        <f t="shared" si="21"/>
        <v>0.1715843085106383</v>
      </c>
      <c r="BG22" s="137">
        <f>BH$3</f>
        <v>0.15</v>
      </c>
      <c r="BH22" s="141">
        <f>BH18</f>
        <v>7.3416402911761353E-2</v>
      </c>
      <c r="BI22" s="137">
        <f>BJ$3</f>
        <v>0.15</v>
      </c>
      <c r="BJ22" s="141">
        <f>BJ18</f>
        <v>0.40668750000000004</v>
      </c>
    </row>
    <row r="23" spans="1:62" ht="16.5" customHeight="1">
      <c r="A23" s="54" t="s">
        <v>286</v>
      </c>
      <c r="B23" s="126">
        <f>IF(Forze!D11=0,"",IF('Geom e masse'!L3="si con isolamento",Forze!D14,Forze!D11))</f>
        <v>0.61099999999999999</v>
      </c>
      <c r="D23" s="122" t="s">
        <v>253</v>
      </c>
      <c r="E23" s="127" t="str">
        <f>IF(A26="ordinaria","",IF(B23="",2,0.8*B23))</f>
        <v/>
      </c>
      <c r="G23" s="126" t="s">
        <v>4</v>
      </c>
      <c r="H23" s="127">
        <f>IF(OR($B$23="",G7="",H7=""),"",IF($B$23&lt;D17,H17*($B$23/D17+(1-$B$23/D17)/H7/$AB$6),IF($B$23&lt;=E17,H17,IF($B$23&lt;F17,H17*E17/$B$23,H17*E17*F17/$B$23^2)))*IF($B$23&gt;$AE$7,$AB$7/$AB$6,1))</f>
        <v>0.15815286613930676</v>
      </c>
      <c r="I23" s="129">
        <f>IF(OR($B$23="",H23=""),"",H23*9.81*($B$23/2/PI())^2*1000)</f>
        <v>14.671305416491508</v>
      </c>
      <c r="AL23" s="111"/>
      <c r="AM23" s="137">
        <f>AM22+(AM$42-AM$22)/20</f>
        <v>0.48240460396794727</v>
      </c>
      <c r="AN23" s="138">
        <f t="shared" si="4"/>
        <v>1</v>
      </c>
      <c r="AO23" s="141">
        <f t="shared" ref="AO23:AO63" si="22">AO$7*AM$22/AM23*AN23</f>
        <v>0.20031193818692697</v>
      </c>
      <c r="AP23" s="139">
        <f t="shared" si="15"/>
        <v>11.583478361923708</v>
      </c>
      <c r="AQ23" s="137">
        <f>AQ22+(AQ$42-AQ$22)/20</f>
        <v>0.49694582932185144</v>
      </c>
      <c r="AR23" s="138">
        <f t="shared" si="5"/>
        <v>1</v>
      </c>
      <c r="AS23" s="141">
        <f t="shared" ref="AS23:AS63" si="23">AS$7*AQ$22/AQ23*AR23</f>
        <v>0.2638337959273796</v>
      </c>
      <c r="AT23" s="139">
        <f t="shared" si="16"/>
        <v>16.190408135116883</v>
      </c>
      <c r="AU23" s="137">
        <f>AU22+(AU$42-AU$22)/20</f>
        <v>0.58131719691520956</v>
      </c>
      <c r="AV23" s="138">
        <f t="shared" si="6"/>
        <v>1</v>
      </c>
      <c r="AW23" s="141">
        <f t="shared" ref="AW23:AW63" si="24">AW$7*AU$22/AU23*AV23</f>
        <v>0.73463942369525503</v>
      </c>
      <c r="AX23" s="139">
        <f t="shared" si="17"/>
        <v>61.689300071486294</v>
      </c>
      <c r="AY23" s="137">
        <f>AY22+(AY$42-AY$22)/20</f>
        <v>0.61209182087931335</v>
      </c>
      <c r="AZ23" s="138">
        <f t="shared" si="7"/>
        <v>1</v>
      </c>
      <c r="BA23" s="141">
        <f t="shared" ref="BA23:BA63" si="25">BA$7*AY$22/AY23*AZ23</f>
        <v>0.8989738931568737</v>
      </c>
      <c r="BB23" s="139">
        <f t="shared" si="18"/>
        <v>83.693070782968064</v>
      </c>
      <c r="BC23" s="137">
        <f t="shared" si="19"/>
        <v>0.49694582932185144</v>
      </c>
      <c r="BD23" s="138">
        <f t="shared" ref="BD23:BD130" si="26">AS23/1.5</f>
        <v>0.17588919728491972</v>
      </c>
      <c r="BE23" s="138">
        <f t="shared" si="8"/>
        <v>0.58131719691520956</v>
      </c>
      <c r="BF23" s="138">
        <f t="shared" si="21"/>
        <v>0.15630626036069256</v>
      </c>
      <c r="BG23" s="137">
        <f>BG22+(BG$42-BG$22)/20</f>
        <v>0.17124999999999999</v>
      </c>
      <c r="BH23" s="141">
        <f>BH$22*BG$22/BG23</f>
        <v>6.430633831687127E-2</v>
      </c>
      <c r="BI23" s="137">
        <f>BI22+(BI$42-BI$22)/20</f>
        <v>0.17124999999999999</v>
      </c>
      <c r="BJ23" s="141">
        <f>BJ$22*BI$22/BI23</f>
        <v>0.35622262773722635</v>
      </c>
    </row>
    <row r="24" spans="1:62" ht="16.5" customHeight="1">
      <c r="C24" s="130" t="str">
        <f>IF(AND(A26&lt;&gt;"ordinaria",OR(E23&lt;1,E23&gt;G17)),CONCATENATE("deve essere compreso tra 1 e ",G17),"")</f>
        <v/>
      </c>
      <c r="G24" s="126" t="s">
        <v>5</v>
      </c>
      <c r="H24" s="127">
        <f>IF(OR($B$23="",G8="",H8=""),"",IF($B$23&lt;D18,H18*($B$23/D18+(1-$B$23/D18)/H8/$AB$6),IF($B$23&lt;=E18,H18,IF($B$23&lt;F18,H18*E18/$B$23,H18*E18*F18/$B$23^2)))*IF($B$23&gt;$AE$7,$AB$7/$AB$6,1))</f>
        <v>0.21458445911663462</v>
      </c>
      <c r="I24" s="129">
        <f>IF(OR($B$23="",H24=""),"",H24*9.81*($B$23/2/PI())^2*1000)</f>
        <v>19.906273052046391</v>
      </c>
      <c r="AA24" s="112" t="s">
        <v>166</v>
      </c>
      <c r="AM24" s="137">
        <f t="shared" ref="AM24:AM41" si="27">AM23+(AM$42-AM$22)/20</f>
        <v>0.5173173064303076</v>
      </c>
      <c r="AN24" s="138">
        <f t="shared" si="4"/>
        <v>1</v>
      </c>
      <c r="AO24" s="141">
        <f t="shared" si="22"/>
        <v>0.1867932891669738</v>
      </c>
      <c r="AP24" s="139">
        <f t="shared" si="15"/>
        <v>12.421800654461162</v>
      </c>
      <c r="AQ24" s="137">
        <f t="shared" ref="AQ24:AQ41" si="28">AQ23+(AQ$42-AQ$22)/20</f>
        <v>0.53363952600590658</v>
      </c>
      <c r="AR24" s="138">
        <f t="shared" si="5"/>
        <v>1</v>
      </c>
      <c r="AS24" s="141">
        <f t="shared" si="23"/>
        <v>0.24569226627866497</v>
      </c>
      <c r="AT24" s="139">
        <f t="shared" si="16"/>
        <v>17.385882350307998</v>
      </c>
      <c r="AU24" s="137">
        <f t="shared" ref="AU24:AU41" si="29">AU23+(AU$42-AU$22)/20</f>
        <v>0.63307829443020414</v>
      </c>
      <c r="AV24" s="138">
        <f t="shared" si="6"/>
        <v>1</v>
      </c>
      <c r="AW24" s="141">
        <f t="shared" si="24"/>
        <v>0.67457458940414383</v>
      </c>
      <c r="AX24" s="139">
        <f t="shared" si="17"/>
        <v>67.182180539458599</v>
      </c>
      <c r="AY24" s="137">
        <f t="shared" ref="AY24:AY41" si="30">AY23+(AY$42-AY$22)/20</f>
        <v>0.67219203060035659</v>
      </c>
      <c r="AZ24" s="138">
        <f t="shared" si="7"/>
        <v>1</v>
      </c>
      <c r="BA24" s="141">
        <f t="shared" si="25"/>
        <v>0.81859727895599399</v>
      </c>
      <c r="BB24" s="139">
        <f t="shared" si="18"/>
        <v>91.910744887857405</v>
      </c>
      <c r="BC24" s="137">
        <f t="shared" si="19"/>
        <v>0.53363952600590658</v>
      </c>
      <c r="BD24" s="138">
        <f t="shared" si="26"/>
        <v>0.16379484418577664</v>
      </c>
      <c r="BE24" s="138">
        <f t="shared" si="8"/>
        <v>0.63307829443020414</v>
      </c>
      <c r="BF24" s="138">
        <f t="shared" si="21"/>
        <v>0.14352650838386039</v>
      </c>
      <c r="BG24" s="137">
        <f t="shared" ref="BG24:BG41" si="31">BG23+(BG$42-BG$22)/20</f>
        <v>0.19249999999999998</v>
      </c>
      <c r="BH24" s="141">
        <f>BH$22*BG$22/BG24</f>
        <v>5.7207586684489373E-2</v>
      </c>
      <c r="BI24" s="137">
        <f t="shared" ref="BI24:BI41" si="32">BI23+(BI$42-BI$22)/20</f>
        <v>0.19249999999999998</v>
      </c>
      <c r="BJ24" s="141">
        <f>BJ$22*BI$22/BI24</f>
        <v>0.31689935064935071</v>
      </c>
    </row>
    <row r="25" spans="1:62" ht="16.5" customHeight="1">
      <c r="A25" s="54" t="s">
        <v>149</v>
      </c>
      <c r="D25" s="122" t="s">
        <v>20</v>
      </c>
      <c r="E25" s="131">
        <f>IF(OR(H23="",H25=""),"",H25/H23)</f>
        <v>4.4194591527541878</v>
      </c>
      <c r="G25" s="54" t="s">
        <v>6</v>
      </c>
      <c r="H25" s="127">
        <f>IF(OR($B$23="",G9="",H9=""),"",IF($B$23&lt;D19,H19*($B$23/D19+(1-$B$23/D19)/H9/$AB$6),IF($B$23&lt;=E19,H19,IF($B$23&lt;F19,H19*E19/$B$23,H19*E19*F19/$B$23^2)))*IF($B$23&gt;$AE$7,$AB$7/$AB$6,1))</f>
        <v>0.69895013179366716</v>
      </c>
      <c r="I25" s="129">
        <f>IF(OR($B$23="",H25=""),"",H25*9.81*($B$23/2/PI())^2*1000)</f>
        <v>64.839235005765488</v>
      </c>
      <c r="AB25" s="30" t="s">
        <v>214</v>
      </c>
      <c r="AC25" s="30" t="s">
        <v>215</v>
      </c>
      <c r="AD25" s="30" t="s">
        <v>167</v>
      </c>
      <c r="AE25" s="30" t="s">
        <v>216</v>
      </c>
      <c r="AF25" s="30" t="s">
        <v>167</v>
      </c>
      <c r="AG25" s="30" t="s">
        <v>168</v>
      </c>
      <c r="AH25" s="30" t="s">
        <v>167</v>
      </c>
      <c r="AM25" s="137">
        <f t="shared" si="27"/>
        <v>0.55223000889266793</v>
      </c>
      <c r="AN25" s="138">
        <f t="shared" si="4"/>
        <v>1</v>
      </c>
      <c r="AO25" s="141">
        <f t="shared" si="22"/>
        <v>0.17498397344411218</v>
      </c>
      <c r="AP25" s="139">
        <f t="shared" si="15"/>
        <v>13.260122946998615</v>
      </c>
      <c r="AQ25" s="137">
        <f t="shared" si="28"/>
        <v>0.57033322268996167</v>
      </c>
      <c r="AR25" s="138">
        <f t="shared" si="5"/>
        <v>1</v>
      </c>
      <c r="AS25" s="141">
        <f t="shared" si="23"/>
        <v>0.22988509051231781</v>
      </c>
      <c r="AT25" s="139">
        <f t="shared" si="16"/>
        <v>18.581356565499107</v>
      </c>
      <c r="AU25" s="137">
        <f t="shared" si="29"/>
        <v>0.68483939194519872</v>
      </c>
      <c r="AV25" s="138">
        <f t="shared" si="6"/>
        <v>1</v>
      </c>
      <c r="AW25" s="141">
        <f t="shared" si="24"/>
        <v>0.62358931969863107</v>
      </c>
      <c r="AX25" s="139">
        <f t="shared" si="17"/>
        <v>72.675061007430898</v>
      </c>
      <c r="AY25" s="137">
        <f t="shared" si="30"/>
        <v>0.73229224032139983</v>
      </c>
      <c r="AZ25" s="138">
        <f t="shared" si="7"/>
        <v>1</v>
      </c>
      <c r="BA25" s="141">
        <f t="shared" si="25"/>
        <v>0.75141389856029583</v>
      </c>
      <c r="BB25" s="139">
        <f t="shared" si="18"/>
        <v>100.12841899274673</v>
      </c>
      <c r="BC25" s="137">
        <f t="shared" si="19"/>
        <v>0.57033322268996167</v>
      </c>
      <c r="BD25" s="138">
        <f t="shared" si="26"/>
        <v>0.15325672700821188</v>
      </c>
      <c r="BE25" s="138">
        <f t="shared" si="8"/>
        <v>0.68483939194519872</v>
      </c>
      <c r="BF25" s="138">
        <f t="shared" si="21"/>
        <v>0.1326785786592832</v>
      </c>
      <c r="BG25" s="137">
        <f t="shared" si="31"/>
        <v>0.21374999999999997</v>
      </c>
      <c r="BH25" s="141">
        <f t="shared" ref="BH25:BJ63" si="33">BH$22*BG$22/BG25</f>
        <v>5.1520282745095694E-2</v>
      </c>
      <c r="BI25" s="137">
        <f t="shared" si="32"/>
        <v>0.21374999999999997</v>
      </c>
      <c r="BJ25" s="141">
        <f t="shared" si="33"/>
        <v>0.28539473684210531</v>
      </c>
    </row>
    <row r="26" spans="1:62" ht="16.5" customHeight="1">
      <c r="A26" s="54" t="str">
        <f>IF('Geom e masse'!L3="si con isolamento","isolata alla base","ordinaria")</f>
        <v>ordinaria</v>
      </c>
      <c r="D26" s="122" t="s">
        <v>21</v>
      </c>
      <c r="E26" s="132">
        <f>IF(OR(H24="",H25=""),"",H25/H24*1.5)</f>
        <v>4.8858393660308961</v>
      </c>
      <c r="G26" s="54" t="s">
        <v>7</v>
      </c>
      <c r="H26" s="127">
        <f>IF(OR($B$23="",G10="",H10=""),"",IF($B$23&lt;D20,H20*($B$23/D20+(1-$B$23/D20)/H10/$AB$6),IF($B$23&lt;=E20,H20,IF($B$23&lt;F20,H20*E20/$B$23,H20*E20*F20/$B$23^2)))*IF($B$23&gt;$AE$7,$AB$7/$AB$6,1))</f>
        <v>0.90058030635901176</v>
      </c>
      <c r="I26" s="129">
        <f>IF(OR($B$23="",H26=""),"",H26*9.81*($B$23/2/PI())^2*1000)</f>
        <v>83.543782981664961</v>
      </c>
      <c r="AA26" s="30" t="s">
        <v>4</v>
      </c>
      <c r="AB26" s="110">
        <f>IF(F7&lt;$B$7,$B$7,VLOOKUP(F7,$B$7:$B$10,1,TRUE))</f>
        <v>30</v>
      </c>
      <c r="AC26" s="111">
        <f>VLOOKUP(AB26,$B$7:$E$10,2)</f>
        <v>6.0999999999999999E-2</v>
      </c>
      <c r="AD26" s="111">
        <f>VLOOKUP(AB26,$AA$38:$AF$41,6)</f>
        <v>0.49515645696750471</v>
      </c>
      <c r="AE26" s="111">
        <f>VLOOKUP(AB26,$B$7:$E$10,3)</f>
        <v>2.36</v>
      </c>
      <c r="AF26" s="115">
        <f>VLOOKUP(AB26,$AA$45:$AF$48,4)</f>
        <v>-2.2000000000000019E-3</v>
      </c>
      <c r="AG26" s="111">
        <f>VLOOKUP(AB26,$B$7:$E$10,4)</f>
        <v>0.28000000000000003</v>
      </c>
      <c r="AH26" s="115">
        <f>VLOOKUP(AB26,$AA$45:$AF$48,6)</f>
        <v>5.9999999999999778E-4</v>
      </c>
      <c r="AM26" s="137">
        <f t="shared" si="27"/>
        <v>0.58714271135502827</v>
      </c>
      <c r="AN26" s="138">
        <f t="shared" si="4"/>
        <v>1</v>
      </c>
      <c r="AO26" s="141">
        <f t="shared" si="22"/>
        <v>0.16457906969177416</v>
      </c>
      <c r="AP26" s="139">
        <f t="shared" si="15"/>
        <v>14.098445239536069</v>
      </c>
      <c r="AQ26" s="137">
        <f t="shared" si="28"/>
        <v>0.60702691937401676</v>
      </c>
      <c r="AR26" s="138">
        <f t="shared" si="5"/>
        <v>1</v>
      </c>
      <c r="AS26" s="141">
        <f t="shared" si="23"/>
        <v>0.21598894601819177</v>
      </c>
      <c r="AT26" s="139">
        <f t="shared" si="16"/>
        <v>19.776830780690222</v>
      </c>
      <c r="AU26" s="137">
        <f t="shared" si="29"/>
        <v>0.7366004894601933</v>
      </c>
      <c r="AV26" s="138">
        <f t="shared" si="6"/>
        <v>1</v>
      </c>
      <c r="AW26" s="141">
        <f t="shared" si="24"/>
        <v>0.57976954487078081</v>
      </c>
      <c r="AX26" s="139">
        <f t="shared" si="17"/>
        <v>78.167941475403211</v>
      </c>
      <c r="AY26" s="137">
        <f t="shared" si="30"/>
        <v>0.79239245004244308</v>
      </c>
      <c r="AZ26" s="138">
        <f t="shared" si="7"/>
        <v>1</v>
      </c>
      <c r="BA26" s="141">
        <f t="shared" si="25"/>
        <v>0.69442176935921429</v>
      </c>
      <c r="BB26" s="139">
        <f t="shared" si="18"/>
        <v>108.34609309763609</v>
      </c>
      <c r="BC26" s="137">
        <f t="shared" si="19"/>
        <v>0.60702691937401676</v>
      </c>
      <c r="BD26" s="138">
        <f t="shared" si="26"/>
        <v>0.1439926306787945</v>
      </c>
      <c r="BE26" s="138">
        <f t="shared" si="8"/>
        <v>0.7366004894601933</v>
      </c>
      <c r="BF26" s="138">
        <f t="shared" si="21"/>
        <v>0.12335522231293208</v>
      </c>
      <c r="BG26" s="137">
        <f t="shared" si="31"/>
        <v>0.23499999999999996</v>
      </c>
      <c r="BH26" s="141">
        <f t="shared" si="33"/>
        <v>4.6861533773464699E-2</v>
      </c>
      <c r="BI26" s="137">
        <f t="shared" si="32"/>
        <v>0.23499999999999996</v>
      </c>
      <c r="BJ26" s="141">
        <f t="shared" si="33"/>
        <v>0.25958776595744687</v>
      </c>
    </row>
    <row r="27" spans="1:62" ht="16.5" customHeight="1">
      <c r="AA27" s="30" t="s">
        <v>5</v>
      </c>
      <c r="AB27" s="110">
        <f t="shared" ref="AB27:AB29" si="34">IF(F8&lt;$B$7,$B$7,VLOOKUP(F8,$B$7:$B$10,1,TRUE))</f>
        <v>50</v>
      </c>
      <c r="AC27" s="111">
        <f t="shared" ref="AC27:AC29" si="35">VLOOKUP(AB27,$B$7:$E$10,2)</f>
        <v>8.2000000000000003E-2</v>
      </c>
      <c r="AD27" s="111">
        <f t="shared" ref="AD27:AD29" si="36">VLOOKUP(AB27,$AA$38:$AF$41,6)</f>
        <v>0.49515645696750471</v>
      </c>
      <c r="AE27" s="111">
        <f t="shared" ref="AE27:AE29" si="37">VLOOKUP(AB27,$B$7:$E$10,3)</f>
        <v>2.3159999999999998</v>
      </c>
      <c r="AF27" s="115">
        <f t="shared" ref="AF27:AF29" si="38">VLOOKUP(AB27,$AA$45:$AF$48,4)</f>
        <v>2.2117647058823601E-4</v>
      </c>
      <c r="AG27" s="111">
        <f t="shared" ref="AG27:AG29" si="39">VLOOKUP(AB27,$B$7:$E$10,4)</f>
        <v>0.29199999999999998</v>
      </c>
      <c r="AH27" s="115">
        <f t="shared" ref="AH27:AH29" si="40">VLOOKUP(AB27,$AA$45:$AF$48,6)</f>
        <v>1.6000000000000001E-4</v>
      </c>
      <c r="AL27" s="111"/>
      <c r="AM27" s="137">
        <f t="shared" si="27"/>
        <v>0.6220554138173886</v>
      </c>
      <c r="AN27" s="138">
        <f t="shared" si="4"/>
        <v>1</v>
      </c>
      <c r="AO27" s="141">
        <f t="shared" si="22"/>
        <v>0.15534211111211979</v>
      </c>
      <c r="AP27" s="139">
        <f t="shared" si="15"/>
        <v>14.936767532073519</v>
      </c>
      <c r="AQ27" s="137">
        <f t="shared" si="28"/>
        <v>0.64372061605807185</v>
      </c>
      <c r="AR27" s="138">
        <f t="shared" si="5"/>
        <v>1</v>
      </c>
      <c r="AS27" s="141">
        <f t="shared" si="23"/>
        <v>0.2036770320067485</v>
      </c>
      <c r="AT27" s="139">
        <f t="shared" si="16"/>
        <v>20.972304995881338</v>
      </c>
      <c r="AU27" s="137">
        <f t="shared" si="29"/>
        <v>0.78836158697518788</v>
      </c>
      <c r="AV27" s="138">
        <f t="shared" si="6"/>
        <v>1</v>
      </c>
      <c r="AW27" s="141">
        <f t="shared" si="24"/>
        <v>0.54170388002348402</v>
      </c>
      <c r="AX27" s="139">
        <f t="shared" si="17"/>
        <v>83.660821943375495</v>
      </c>
      <c r="AY27" s="137">
        <f t="shared" si="30"/>
        <v>0.85249265976348632</v>
      </c>
      <c r="AZ27" s="138">
        <f t="shared" si="7"/>
        <v>1</v>
      </c>
      <c r="BA27" s="141">
        <f t="shared" si="25"/>
        <v>0.64546546047448383</v>
      </c>
      <c r="BB27" s="139">
        <f t="shared" si="18"/>
        <v>116.56376720252544</v>
      </c>
      <c r="BC27" s="137">
        <f t="shared" si="19"/>
        <v>0.64372061605807185</v>
      </c>
      <c r="BD27" s="138">
        <f t="shared" si="26"/>
        <v>0.135784688004499</v>
      </c>
      <c r="BE27" s="138">
        <f t="shared" si="8"/>
        <v>0.78836158697518788</v>
      </c>
      <c r="BF27" s="138">
        <f t="shared" si="21"/>
        <v>0.11525614468584766</v>
      </c>
      <c r="BG27" s="137">
        <f t="shared" si="31"/>
        <v>0.25624999999999998</v>
      </c>
      <c r="BH27" s="141">
        <f t="shared" si="33"/>
        <v>4.2975455362982258E-2</v>
      </c>
      <c r="BI27" s="137">
        <f t="shared" si="32"/>
        <v>0.25624999999999998</v>
      </c>
      <c r="BJ27" s="141">
        <f t="shared" si="33"/>
        <v>0.23806097560975614</v>
      </c>
    </row>
    <row r="28" spans="1:62" ht="16.5" customHeight="1">
      <c r="E28" s="54" t="s">
        <v>254</v>
      </c>
      <c r="H28" s="54" t="s">
        <v>255</v>
      </c>
      <c r="I28" s="54"/>
      <c r="AA28" s="30" t="s">
        <v>6</v>
      </c>
      <c r="AB28" s="110">
        <f t="shared" si="34"/>
        <v>475</v>
      </c>
      <c r="AC28" s="111">
        <f t="shared" si="35"/>
        <v>0.25</v>
      </c>
      <c r="AD28" s="111">
        <f t="shared" si="36"/>
        <v>0.42348712328071519</v>
      </c>
      <c r="AE28" s="111">
        <f t="shared" si="37"/>
        <v>2.41</v>
      </c>
      <c r="AF28" s="115">
        <f t="shared" si="38"/>
        <v>6.9999999999999398E-5</v>
      </c>
      <c r="AG28" s="111">
        <f t="shared" si="39"/>
        <v>0.36</v>
      </c>
      <c r="AH28" s="115">
        <f t="shared" si="40"/>
        <v>4.6000000000000041E-5</v>
      </c>
      <c r="AL28" s="111"/>
      <c r="AM28" s="137">
        <f t="shared" si="27"/>
        <v>0.65696811627974894</v>
      </c>
      <c r="AN28" s="138">
        <f t="shared" si="4"/>
        <v>1</v>
      </c>
      <c r="AO28" s="141">
        <f t="shared" si="22"/>
        <v>0.14708689632963715</v>
      </c>
      <c r="AP28" s="139">
        <f t="shared" si="15"/>
        <v>15.775089824610973</v>
      </c>
      <c r="AQ28" s="137">
        <f t="shared" si="28"/>
        <v>0.68041431274212694</v>
      </c>
      <c r="AR28" s="138">
        <f t="shared" si="5"/>
        <v>1</v>
      </c>
      <c r="AS28" s="141">
        <f t="shared" si="23"/>
        <v>0.1926930431428977</v>
      </c>
      <c r="AT28" s="139">
        <f t="shared" si="16"/>
        <v>22.16777921107245</v>
      </c>
      <c r="AU28" s="137">
        <f t="shared" si="29"/>
        <v>0.84012268449018246</v>
      </c>
      <c r="AV28" s="138">
        <f t="shared" si="6"/>
        <v>1</v>
      </c>
      <c r="AW28" s="141">
        <f t="shared" si="24"/>
        <v>0.50832876960712658</v>
      </c>
      <c r="AX28" s="139">
        <f t="shared" si="17"/>
        <v>89.153702411347794</v>
      </c>
      <c r="AY28" s="137">
        <f t="shared" si="30"/>
        <v>0.91259286948452956</v>
      </c>
      <c r="AZ28" s="138">
        <f t="shared" si="7"/>
        <v>1</v>
      </c>
      <c r="BA28" s="141">
        <f t="shared" si="25"/>
        <v>0.60295733791582529</v>
      </c>
      <c r="BB28" s="139">
        <f t="shared" si="18"/>
        <v>124.78144130741475</v>
      </c>
      <c r="BC28" s="137">
        <f t="shared" si="19"/>
        <v>0.68041431274212694</v>
      </c>
      <c r="BD28" s="138">
        <f t="shared" si="26"/>
        <v>0.1284620287619318</v>
      </c>
      <c r="BE28" s="138">
        <f t="shared" si="8"/>
        <v>0.84012268449018246</v>
      </c>
      <c r="BF28" s="138">
        <f t="shared" si="21"/>
        <v>0.10815505736321841</v>
      </c>
      <c r="BG28" s="137">
        <f t="shared" si="31"/>
        <v>0.27749999999999997</v>
      </c>
      <c r="BH28" s="141">
        <f t="shared" si="33"/>
        <v>3.96845421144656E-2</v>
      </c>
      <c r="BI28" s="137">
        <f t="shared" si="32"/>
        <v>0.27749999999999997</v>
      </c>
      <c r="BJ28" s="141">
        <f t="shared" si="33"/>
        <v>0.21983108108108113</v>
      </c>
    </row>
    <row r="29" spans="1:62" ht="16.5" customHeight="1">
      <c r="A29" s="136" t="s">
        <v>22</v>
      </c>
      <c r="B29" s="126">
        <f>IF(Forze!D23="","",Forze!D23)</f>
        <v>4.7</v>
      </c>
      <c r="D29" s="54" t="s">
        <v>6</v>
      </c>
      <c r="E29" s="127">
        <f>IF(OR($B$23="",$B$29="",H19=""),"",H19/B29/AB6)</f>
        <v>0.1715843085106383</v>
      </c>
      <c r="G29" s="54" t="s">
        <v>6</v>
      </c>
      <c r="H29" s="127">
        <f>IF(OR($B$23="",$B$29="",H19=""),"",MAX(IF($B$23&lt;D19,H19/B29/AB6*($B$23/D19+(1-$B$23/D19)/D9),IF($B$23&lt;=E19,H19/B29/AB6,IF($B$23&lt;F19,H19/B29/AB6*E19/$B$23,H19/B29/AB6*E19*F19/$B$23^2))),,0.2*$C$19)*IF(B23&gt;AE7,$AB$7/$AB$6,1))</f>
        <v>0.14871279399865259</v>
      </c>
      <c r="I29" s="54"/>
      <c r="AA29" s="30" t="s">
        <v>7</v>
      </c>
      <c r="AB29" s="110">
        <f t="shared" si="34"/>
        <v>975</v>
      </c>
      <c r="AC29" s="111">
        <f t="shared" si="35"/>
        <v>0.33900000000000002</v>
      </c>
      <c r="AD29" s="111">
        <f t="shared" si="36"/>
        <v>0.42348712328071519</v>
      </c>
      <c r="AE29" s="111">
        <f t="shared" si="37"/>
        <v>2.4449999999999998</v>
      </c>
      <c r="AF29" s="115">
        <f t="shared" si="38"/>
        <v>6.9999999999999398E-5</v>
      </c>
      <c r="AG29" s="111">
        <f t="shared" si="39"/>
        <v>0.38300000000000001</v>
      </c>
      <c r="AH29" s="115">
        <f t="shared" si="40"/>
        <v>4.6000000000000041E-5</v>
      </c>
      <c r="AL29" s="111"/>
      <c r="AM29" s="137">
        <f t="shared" si="27"/>
        <v>0.69188081874210927</v>
      </c>
      <c r="AN29" s="138">
        <f t="shared" si="4"/>
        <v>1</v>
      </c>
      <c r="AO29" s="141">
        <f t="shared" si="22"/>
        <v>0.13966480728111455</v>
      </c>
      <c r="AP29" s="139">
        <f t="shared" si="15"/>
        <v>16.613412117148425</v>
      </c>
      <c r="AQ29" s="137">
        <f t="shared" si="28"/>
        <v>0.71710800942618202</v>
      </c>
      <c r="AR29" s="138">
        <f t="shared" si="5"/>
        <v>1</v>
      </c>
      <c r="AS29" s="141">
        <f t="shared" si="23"/>
        <v>0.18283313363795323</v>
      </c>
      <c r="AT29" s="139">
        <f t="shared" si="16"/>
        <v>23.363253426263562</v>
      </c>
      <c r="AU29" s="137">
        <f t="shared" si="29"/>
        <v>0.89188378200517704</v>
      </c>
      <c r="AV29" s="138">
        <f t="shared" si="6"/>
        <v>1</v>
      </c>
      <c r="AW29" s="141">
        <f t="shared" si="24"/>
        <v>0.47882755482535694</v>
      </c>
      <c r="AX29" s="139">
        <f t="shared" si="17"/>
        <v>94.646582879320121</v>
      </c>
      <c r="AY29" s="137">
        <f t="shared" si="30"/>
        <v>0.9726930792055728</v>
      </c>
      <c r="AZ29" s="138">
        <f t="shared" si="7"/>
        <v>1</v>
      </c>
      <c r="BA29" s="141">
        <f t="shared" si="25"/>
        <v>0.56570215101639798</v>
      </c>
      <c r="BB29" s="139">
        <f t="shared" si="18"/>
        <v>132.99911541230409</v>
      </c>
      <c r="BC29" s="137">
        <f t="shared" si="19"/>
        <v>0.71710800942618202</v>
      </c>
      <c r="BD29" s="138">
        <f t="shared" si="26"/>
        <v>0.12188875575863549</v>
      </c>
      <c r="BE29" s="138">
        <f t="shared" si="8"/>
        <v>0.89188378200517704</v>
      </c>
      <c r="BF29" s="138">
        <f t="shared" si="21"/>
        <v>0.10187820315433126</v>
      </c>
      <c r="BG29" s="137">
        <f t="shared" si="31"/>
        <v>0.29874999999999996</v>
      </c>
      <c r="BH29" s="141">
        <f t="shared" si="33"/>
        <v>3.6861792256951312E-2</v>
      </c>
      <c r="BI29" s="137">
        <f t="shared" si="32"/>
        <v>0.29874999999999996</v>
      </c>
      <c r="BJ29" s="141">
        <f t="shared" si="33"/>
        <v>0.2041945606694561</v>
      </c>
    </row>
    <row r="30" spans="1:62" ht="16.5" customHeight="1">
      <c r="A30" s="108"/>
      <c r="B30" s="108"/>
      <c r="C30" s="130" t="str">
        <f>IF(A26="ordinaria","",IF(B29&lt;1,"non deve essere minore di 1",IF(B29&gt;1.5,"non deve essere maggiore di 1.5","")))</f>
        <v/>
      </c>
      <c r="D30" s="54"/>
      <c r="E30" s="120"/>
      <c r="AL30" s="111"/>
      <c r="AM30" s="137">
        <f t="shared" si="27"/>
        <v>0.72679352120446961</v>
      </c>
      <c r="AN30" s="138">
        <f t="shared" si="4"/>
        <v>1</v>
      </c>
      <c r="AO30" s="141">
        <f t="shared" si="22"/>
        <v>0.13295578233963234</v>
      </c>
      <c r="AP30" s="139">
        <f t="shared" si="15"/>
        <v>17.451734409685876</v>
      </c>
      <c r="AQ30" s="137">
        <f t="shared" si="28"/>
        <v>0.75380170611023711</v>
      </c>
      <c r="AR30" s="138">
        <f t="shared" si="5"/>
        <v>1</v>
      </c>
      <c r="AS30" s="141">
        <f t="shared" si="23"/>
        <v>0.17393314907288079</v>
      </c>
      <c r="AT30" s="139">
        <f t="shared" si="16"/>
        <v>24.558727641454674</v>
      </c>
      <c r="AU30" s="137">
        <f t="shared" si="29"/>
        <v>0.94364487952017162</v>
      </c>
      <c r="AV30" s="138">
        <f t="shared" si="6"/>
        <v>1</v>
      </c>
      <c r="AW30" s="141">
        <f t="shared" si="24"/>
        <v>0.45256275935400941</v>
      </c>
      <c r="AX30" s="139">
        <f t="shared" si="17"/>
        <v>100.13946334729242</v>
      </c>
      <c r="AY30" s="137">
        <f t="shared" si="30"/>
        <v>1.032793288926616</v>
      </c>
      <c r="AZ30" s="138">
        <f t="shared" si="7"/>
        <v>1</v>
      </c>
      <c r="BA30" s="141">
        <f t="shared" si="25"/>
        <v>0.53278286476593661</v>
      </c>
      <c r="BB30" s="139">
        <f t="shared" si="18"/>
        <v>141.21678951719343</v>
      </c>
      <c r="BC30" s="137">
        <f t="shared" si="19"/>
        <v>0.75380170611023711</v>
      </c>
      <c r="BD30" s="138">
        <f t="shared" si="26"/>
        <v>0.11595543271525387</v>
      </c>
      <c r="BE30" s="138">
        <f t="shared" si="8"/>
        <v>0.94364487952017162</v>
      </c>
      <c r="BF30" s="138">
        <f t="shared" si="21"/>
        <v>9.6289948798725405E-2</v>
      </c>
      <c r="BG30" s="137">
        <f t="shared" si="31"/>
        <v>0.31999999999999995</v>
      </c>
      <c r="BH30" s="141">
        <f t="shared" si="33"/>
        <v>3.4413938864888138E-2</v>
      </c>
      <c r="BI30" s="137">
        <f t="shared" si="32"/>
        <v>0.31999999999999995</v>
      </c>
      <c r="BJ30" s="141">
        <f t="shared" si="33"/>
        <v>0.19063476562500004</v>
      </c>
    </row>
    <row r="31" spans="1:62" ht="16.5" customHeight="1">
      <c r="C31" s="54"/>
      <c r="AL31" s="111"/>
      <c r="AM31" s="137">
        <f t="shared" si="27"/>
        <v>0.76170622366682994</v>
      </c>
      <c r="AN31" s="138">
        <f t="shared" si="4"/>
        <v>1</v>
      </c>
      <c r="AO31" s="141">
        <f t="shared" si="22"/>
        <v>0.12686177191245188</v>
      </c>
      <c r="AP31" s="139">
        <f t="shared" si="15"/>
        <v>18.290056702223332</v>
      </c>
      <c r="AQ31" s="137">
        <f t="shared" si="28"/>
        <v>0.7904954027942922</v>
      </c>
      <c r="AR31" s="138">
        <f t="shared" si="5"/>
        <v>1</v>
      </c>
      <c r="AS31" s="141">
        <f t="shared" si="23"/>
        <v>0.16585941430753942</v>
      </c>
      <c r="AT31" s="139">
        <f t="shared" si="16"/>
        <v>25.754201856645786</v>
      </c>
      <c r="AU31" s="137">
        <f t="shared" si="29"/>
        <v>0.9954059770351662</v>
      </c>
      <c r="AV31" s="138">
        <f t="shared" si="6"/>
        <v>1</v>
      </c>
      <c r="AW31" s="141">
        <f t="shared" si="24"/>
        <v>0.42902950191029776</v>
      </c>
      <c r="AX31" s="139">
        <f t="shared" si="17"/>
        <v>105.63234381526472</v>
      </c>
      <c r="AY31" s="137">
        <f t="shared" si="30"/>
        <v>1.0928934986476593</v>
      </c>
      <c r="AZ31" s="138">
        <f t="shared" si="7"/>
        <v>1</v>
      </c>
      <c r="BA31" s="141">
        <f t="shared" si="25"/>
        <v>0.50348416187509426</v>
      </c>
      <c r="BB31" s="139">
        <f t="shared" si="18"/>
        <v>149.43446362208277</v>
      </c>
      <c r="BC31" s="137">
        <f t="shared" si="19"/>
        <v>0.7904954027942922</v>
      </c>
      <c r="BD31" s="138">
        <f t="shared" si="26"/>
        <v>0.11057294287169295</v>
      </c>
      <c r="BE31" s="138">
        <f t="shared" si="8"/>
        <v>0.9954059770351662</v>
      </c>
      <c r="BF31" s="138">
        <f t="shared" si="21"/>
        <v>9.1282872746871857E-2</v>
      </c>
      <c r="BG31" s="137">
        <f t="shared" si="31"/>
        <v>0.34124999999999994</v>
      </c>
      <c r="BH31" s="141">
        <f t="shared" si="33"/>
        <v>3.2270946334840157E-2</v>
      </c>
      <c r="BI31" s="137">
        <f t="shared" si="32"/>
        <v>0.34124999999999994</v>
      </c>
      <c r="BJ31" s="141">
        <f t="shared" si="33"/>
        <v>0.17876373626373632</v>
      </c>
    </row>
    <row r="32" spans="1:62" ht="16.5" customHeight="1">
      <c r="C32" s="54"/>
      <c r="AH32" s="111" t="s">
        <v>4</v>
      </c>
      <c r="AI32" s="111" t="s">
        <v>5</v>
      </c>
      <c r="AJ32" s="111" t="s">
        <v>6</v>
      </c>
      <c r="AK32" s="111" t="s">
        <v>7</v>
      </c>
      <c r="AL32" s="111"/>
      <c r="AM32" s="137">
        <f t="shared" si="27"/>
        <v>0.79661892612919027</v>
      </c>
      <c r="AN32" s="138">
        <f t="shared" si="4"/>
        <v>1</v>
      </c>
      <c r="AO32" s="141">
        <f t="shared" si="22"/>
        <v>0.12130191493271829</v>
      </c>
      <c r="AP32" s="139">
        <f t="shared" si="15"/>
        <v>19.12837899476078</v>
      </c>
      <c r="AQ32" s="137">
        <f t="shared" si="28"/>
        <v>0.82718909947834729</v>
      </c>
      <c r="AR32" s="138">
        <f t="shared" si="5"/>
        <v>1</v>
      </c>
      <c r="AS32" s="141">
        <f t="shared" si="23"/>
        <v>0.15850197325248452</v>
      </c>
      <c r="AT32" s="139">
        <f t="shared" si="16"/>
        <v>26.949676071836901</v>
      </c>
      <c r="AU32" s="137">
        <f t="shared" si="29"/>
        <v>1.0471670745501609</v>
      </c>
      <c r="AV32" s="138">
        <f t="shared" si="6"/>
        <v>1</v>
      </c>
      <c r="AW32" s="141">
        <f t="shared" si="24"/>
        <v>0.40782272562321081</v>
      </c>
      <c r="AX32" s="139">
        <f t="shared" si="17"/>
        <v>111.12522428323705</v>
      </c>
      <c r="AY32" s="137">
        <f t="shared" si="30"/>
        <v>1.1529937083687025</v>
      </c>
      <c r="AZ32" s="138">
        <f t="shared" si="7"/>
        <v>1</v>
      </c>
      <c r="BA32" s="141">
        <f t="shared" si="25"/>
        <v>0.47723986973344057</v>
      </c>
      <c r="BB32" s="139">
        <f t="shared" si="18"/>
        <v>157.65213772697211</v>
      </c>
      <c r="BC32" s="137">
        <f t="shared" si="19"/>
        <v>0.82718909947834729</v>
      </c>
      <c r="BD32" s="138">
        <f t="shared" si="26"/>
        <v>0.10566798216832302</v>
      </c>
      <c r="BE32" s="138">
        <f t="shared" si="8"/>
        <v>1.0471670745501609</v>
      </c>
      <c r="BF32" s="138">
        <f t="shared" si="21"/>
        <v>8.6770792685789536E-2</v>
      </c>
      <c r="BG32" s="137">
        <f t="shared" si="31"/>
        <v>0.36249999999999993</v>
      </c>
      <c r="BH32" s="141">
        <f t="shared" si="33"/>
        <v>3.0379201204866771E-2</v>
      </c>
      <c r="BI32" s="137">
        <f t="shared" si="32"/>
        <v>0.36249999999999993</v>
      </c>
      <c r="BJ32" s="141">
        <f t="shared" si="33"/>
        <v>0.16828448275862073</v>
      </c>
    </row>
    <row r="33" spans="3:62" ht="16.5" customHeight="1">
      <c r="C33" s="54"/>
      <c r="AG33" s="144" t="s">
        <v>169</v>
      </c>
      <c r="AH33" s="110">
        <f>$B$13</f>
        <v>0.05</v>
      </c>
      <c r="AI33" s="110">
        <f t="shared" ref="AI33:AK33" si="41">$B$13</f>
        <v>0.05</v>
      </c>
      <c r="AJ33" s="110">
        <f t="shared" si="41"/>
        <v>0.05</v>
      </c>
      <c r="AK33" s="110">
        <f t="shared" si="41"/>
        <v>0.05</v>
      </c>
      <c r="AL33" s="111"/>
      <c r="AM33" s="137">
        <f t="shared" si="27"/>
        <v>0.83153162859155061</v>
      </c>
      <c r="AN33" s="138">
        <f t="shared" si="4"/>
        <v>1</v>
      </c>
      <c r="AO33" s="141">
        <f t="shared" si="22"/>
        <v>0.11620893047061942</v>
      </c>
      <c r="AP33" s="139">
        <f t="shared" si="15"/>
        <v>19.966701287298235</v>
      </c>
      <c r="AQ33" s="137">
        <f t="shared" si="28"/>
        <v>0.86388279616240238</v>
      </c>
      <c r="AR33" s="138">
        <f t="shared" si="5"/>
        <v>1</v>
      </c>
      <c r="AS33" s="141">
        <f t="shared" si="23"/>
        <v>0.15176955149783539</v>
      </c>
      <c r="AT33" s="139">
        <f t="shared" si="16"/>
        <v>28.145150287028013</v>
      </c>
      <c r="AU33" s="137">
        <f t="shared" si="29"/>
        <v>1.0989281720651556</v>
      </c>
      <c r="AV33" s="138">
        <f t="shared" si="6"/>
        <v>1</v>
      </c>
      <c r="AW33" s="141">
        <f t="shared" si="24"/>
        <v>0.38861368866664225</v>
      </c>
      <c r="AX33" s="139">
        <f t="shared" si="17"/>
        <v>116.61810475120937</v>
      </c>
      <c r="AY33" s="137">
        <f t="shared" si="30"/>
        <v>1.2130939180897458</v>
      </c>
      <c r="AZ33" s="138">
        <f t="shared" si="7"/>
        <v>1</v>
      </c>
      <c r="BA33" s="141">
        <f t="shared" si="25"/>
        <v>0.45359601509818781</v>
      </c>
      <c r="BB33" s="139">
        <f t="shared" si="18"/>
        <v>165.86981183186148</v>
      </c>
      <c r="BC33" s="137">
        <f t="shared" si="19"/>
        <v>0.86388279616240238</v>
      </c>
      <c r="BD33" s="138">
        <f t="shared" si="26"/>
        <v>0.10117970099855693</v>
      </c>
      <c r="BE33" s="138">
        <f t="shared" si="8"/>
        <v>1.0989281720651556</v>
      </c>
      <c r="BF33" s="138">
        <f t="shared" si="21"/>
        <v>8.2683763546094094E-2</v>
      </c>
      <c r="BG33" s="137">
        <f t="shared" si="31"/>
        <v>0.38374999999999992</v>
      </c>
      <c r="BH33" s="141">
        <f t="shared" si="33"/>
        <v>2.8696965307528872E-2</v>
      </c>
      <c r="BI33" s="137">
        <f t="shared" si="32"/>
        <v>0.38374999999999992</v>
      </c>
      <c r="BJ33" s="141">
        <f t="shared" si="33"/>
        <v>0.15896579804560265</v>
      </c>
    </row>
    <row r="34" spans="3:62" ht="16.5" customHeight="1">
      <c r="C34" s="54"/>
      <c r="AG34" s="144" t="s">
        <v>12</v>
      </c>
      <c r="AH34" s="111">
        <f>IF($B$13="",1,MAX(SQRT(10/(5+$B$13*100)),0.55))</f>
        <v>1</v>
      </c>
      <c r="AI34" s="111">
        <f t="shared" ref="AI34:AK34" si="42">IF($B$13="",1,MAX(SQRT(10/(5+$B$13*100)),0.55))</f>
        <v>1</v>
      </c>
      <c r="AJ34" s="111">
        <f t="shared" si="42"/>
        <v>1</v>
      </c>
      <c r="AK34" s="111">
        <f t="shared" si="42"/>
        <v>1</v>
      </c>
      <c r="AL34" s="111"/>
      <c r="AM34" s="137">
        <f t="shared" si="27"/>
        <v>0.86644433105391094</v>
      </c>
      <c r="AN34" s="138">
        <f t="shared" si="4"/>
        <v>1</v>
      </c>
      <c r="AO34" s="141">
        <f t="shared" si="22"/>
        <v>0.11152638172792655</v>
      </c>
      <c r="AP34" s="139">
        <f t="shared" si="15"/>
        <v>20.805023579835687</v>
      </c>
      <c r="AQ34" s="137">
        <f t="shared" si="28"/>
        <v>0.90057649284645747</v>
      </c>
      <c r="AR34" s="138">
        <f t="shared" si="5"/>
        <v>1</v>
      </c>
      <c r="AS34" s="141">
        <f t="shared" si="23"/>
        <v>0.14558575041844599</v>
      </c>
      <c r="AT34" s="139">
        <f t="shared" si="16"/>
        <v>29.340624502219121</v>
      </c>
      <c r="AU34" s="137">
        <f t="shared" si="29"/>
        <v>1.1506892695801503</v>
      </c>
      <c r="AV34" s="138">
        <f t="shared" si="6"/>
        <v>1</v>
      </c>
      <c r="AW34" s="141">
        <f t="shared" si="24"/>
        <v>0.37113279997974657</v>
      </c>
      <c r="AX34" s="139">
        <f t="shared" si="17"/>
        <v>122.11098521918167</v>
      </c>
      <c r="AY34" s="137">
        <f t="shared" si="30"/>
        <v>1.273194127810789</v>
      </c>
      <c r="AZ34" s="138">
        <f t="shared" si="7"/>
        <v>1</v>
      </c>
      <c r="BA34" s="141">
        <f t="shared" si="25"/>
        <v>0.43218434264341044</v>
      </c>
      <c r="BB34" s="139">
        <f t="shared" si="18"/>
        <v>174.0874859367508</v>
      </c>
      <c r="BC34" s="137">
        <f t="shared" si="19"/>
        <v>0.90057649284645747</v>
      </c>
      <c r="BD34" s="138">
        <f t="shared" si="26"/>
        <v>9.7057166945630657E-2</v>
      </c>
      <c r="BE34" s="138">
        <f t="shared" si="8"/>
        <v>1.1506892695801503</v>
      </c>
      <c r="BF34" s="138">
        <f t="shared" si="21"/>
        <v>7.8964425527605644E-2</v>
      </c>
      <c r="BG34" s="137">
        <f t="shared" si="31"/>
        <v>0.40499999999999992</v>
      </c>
      <c r="BH34" s="141">
        <f t="shared" si="33"/>
        <v>2.7191260337689396E-2</v>
      </c>
      <c r="BI34" s="137">
        <f t="shared" si="32"/>
        <v>0.40499999999999992</v>
      </c>
      <c r="BJ34" s="141">
        <f t="shared" si="33"/>
        <v>0.15062500000000004</v>
      </c>
    </row>
    <row r="35" spans="3:62" ht="16.5" customHeight="1">
      <c r="C35" s="54"/>
      <c r="AL35" s="111"/>
      <c r="AM35" s="137">
        <f t="shared" si="27"/>
        <v>0.90135703351627128</v>
      </c>
      <c r="AN35" s="138">
        <f t="shared" si="4"/>
        <v>1</v>
      </c>
      <c r="AO35" s="141">
        <f t="shared" si="22"/>
        <v>0.10720657588275428</v>
      </c>
      <c r="AP35" s="139">
        <f t="shared" si="15"/>
        <v>21.643345872373139</v>
      </c>
      <c r="AQ35" s="137">
        <f t="shared" si="28"/>
        <v>0.93727018953051255</v>
      </c>
      <c r="AR35" s="138">
        <f t="shared" si="5"/>
        <v>1</v>
      </c>
      <c r="AS35" s="141">
        <f t="shared" si="23"/>
        <v>0.13988613527326474</v>
      </c>
      <c r="AT35" s="139">
        <f t="shared" si="16"/>
        <v>30.536098717410241</v>
      </c>
      <c r="AU35" s="137">
        <f t="shared" si="29"/>
        <v>1.202450367095145</v>
      </c>
      <c r="AV35" s="138">
        <f t="shared" si="6"/>
        <v>1</v>
      </c>
      <c r="AW35" s="141">
        <f t="shared" si="24"/>
        <v>0.35515688814467239</v>
      </c>
      <c r="AX35" s="139">
        <f t="shared" si="17"/>
        <v>127.603865687154</v>
      </c>
      <c r="AY35" s="137">
        <f t="shared" si="30"/>
        <v>1.3332943375318322</v>
      </c>
      <c r="AZ35" s="138">
        <f t="shared" si="7"/>
        <v>1</v>
      </c>
      <c r="BA35" s="141">
        <f t="shared" si="25"/>
        <v>0.41270299565209012</v>
      </c>
      <c r="BB35" s="139">
        <f t="shared" si="18"/>
        <v>182.30516004164011</v>
      </c>
      <c r="BC35" s="137">
        <f t="shared" si="19"/>
        <v>0.93727018953051255</v>
      </c>
      <c r="BD35" s="138">
        <f t="shared" si="26"/>
        <v>9.3257423515509821E-2</v>
      </c>
      <c r="BE35" s="138">
        <f t="shared" si="8"/>
        <v>1.202450367095145</v>
      </c>
      <c r="BF35" s="138">
        <f t="shared" si="21"/>
        <v>7.5565295349930298E-2</v>
      </c>
      <c r="BG35" s="137">
        <f t="shared" si="31"/>
        <v>0.42624999999999991</v>
      </c>
      <c r="BH35" s="141">
        <f t="shared" si="33"/>
        <v>2.5835684309124234E-2</v>
      </c>
      <c r="BI35" s="137">
        <f t="shared" si="32"/>
        <v>0.42624999999999991</v>
      </c>
      <c r="BJ35" s="141">
        <f t="shared" si="33"/>
        <v>0.14311583577712614</v>
      </c>
    </row>
    <row r="36" spans="3:62" ht="16.5" customHeight="1">
      <c r="C36" s="54"/>
      <c r="J36" s="54"/>
      <c r="R36" s="54" t="s">
        <v>150</v>
      </c>
      <c r="AA36" s="112" t="s">
        <v>256</v>
      </c>
      <c r="AL36" s="111"/>
      <c r="AM36" s="137">
        <f t="shared" si="27"/>
        <v>0.93626973597863161</v>
      </c>
      <c r="AN36" s="138">
        <f t="shared" si="4"/>
        <v>1</v>
      </c>
      <c r="AO36" s="141">
        <f t="shared" si="22"/>
        <v>0.10320893381234085</v>
      </c>
      <c r="AP36" s="139">
        <f t="shared" si="15"/>
        <v>22.481668164910591</v>
      </c>
      <c r="AQ36" s="137">
        <f t="shared" si="28"/>
        <v>0.97396388621456764</v>
      </c>
      <c r="AR36" s="138">
        <f t="shared" si="5"/>
        <v>1</v>
      </c>
      <c r="AS36" s="141">
        <f t="shared" si="23"/>
        <v>0.13461598153278911</v>
      </c>
      <c r="AT36" s="139">
        <f t="shared" si="16"/>
        <v>31.731572932601349</v>
      </c>
      <c r="AU36" s="137">
        <f t="shared" si="29"/>
        <v>1.2542114646101397</v>
      </c>
      <c r="AV36" s="138">
        <f t="shared" si="6"/>
        <v>1</v>
      </c>
      <c r="AW36" s="141">
        <f t="shared" si="24"/>
        <v>0.34049962273202306</v>
      </c>
      <c r="AX36" s="139">
        <f t="shared" si="17"/>
        <v>133.09674615512628</v>
      </c>
      <c r="AY36" s="137">
        <f t="shared" si="30"/>
        <v>1.3933945472528755</v>
      </c>
      <c r="AZ36" s="138">
        <f t="shared" si="7"/>
        <v>1</v>
      </c>
      <c r="BA36" s="141">
        <f t="shared" si="25"/>
        <v>0.39490219641680213</v>
      </c>
      <c r="BB36" s="139">
        <f t="shared" si="18"/>
        <v>190.52283414652945</v>
      </c>
      <c r="BC36" s="137">
        <f t="shared" si="19"/>
        <v>0.97396388621456764</v>
      </c>
      <c r="BD36" s="138">
        <f t="shared" si="26"/>
        <v>8.9743987688526081E-2</v>
      </c>
      <c r="BE36" s="138">
        <f t="shared" si="8"/>
        <v>1.2542114646101397</v>
      </c>
      <c r="BF36" s="138">
        <f t="shared" si="21"/>
        <v>7.2446728240855962E-2</v>
      </c>
      <c r="BG36" s="137">
        <f t="shared" si="31"/>
        <v>0.4474999999999999</v>
      </c>
      <c r="BH36" s="141">
        <f t="shared" si="33"/>
        <v>2.4608850138020572E-2</v>
      </c>
      <c r="BI36" s="137">
        <f t="shared" si="32"/>
        <v>0.4474999999999999</v>
      </c>
      <c r="BJ36" s="141">
        <f t="shared" si="33"/>
        <v>0.13631983240223469</v>
      </c>
    </row>
    <row r="37" spans="3:62" ht="16.5" customHeight="1">
      <c r="J37" s="54"/>
      <c r="AA37" s="30" t="s">
        <v>214</v>
      </c>
      <c r="AB37" s="30" t="s">
        <v>257</v>
      </c>
      <c r="AC37" s="146" t="s">
        <v>270</v>
      </c>
      <c r="AD37" s="30" t="s">
        <v>258</v>
      </c>
      <c r="AE37" s="146" t="s">
        <v>271</v>
      </c>
      <c r="AF37" s="30" t="s">
        <v>167</v>
      </c>
      <c r="AG37" s="145" t="s">
        <v>12</v>
      </c>
      <c r="AH37" s="110"/>
      <c r="AI37" s="110"/>
      <c r="AJ37" s="110"/>
      <c r="AK37" s="110"/>
      <c r="AL37" s="111"/>
      <c r="AM37" s="137">
        <f t="shared" si="27"/>
        <v>0.97118243844099195</v>
      </c>
      <c r="AN37" s="138">
        <f t="shared" si="4"/>
        <v>1</v>
      </c>
      <c r="AO37" s="141">
        <f t="shared" si="22"/>
        <v>9.9498711453468752E-2</v>
      </c>
      <c r="AP37" s="139">
        <f t="shared" si="15"/>
        <v>23.319990457448046</v>
      </c>
      <c r="AQ37" s="137">
        <f t="shared" si="28"/>
        <v>1.0106575828986228</v>
      </c>
      <c r="AR37" s="138">
        <f t="shared" si="5"/>
        <v>1</v>
      </c>
      <c r="AS37" s="141">
        <f t="shared" si="23"/>
        <v>0.12972851214773429</v>
      </c>
      <c r="AT37" s="139">
        <f t="shared" si="16"/>
        <v>32.927047147792464</v>
      </c>
      <c r="AU37" s="137">
        <f t="shared" si="29"/>
        <v>1.3059725621251344</v>
      </c>
      <c r="AV37" s="138">
        <f t="shared" si="6"/>
        <v>1</v>
      </c>
      <c r="AW37" s="141">
        <f t="shared" si="24"/>
        <v>0.3270042134966471</v>
      </c>
      <c r="AX37" s="139">
        <f t="shared" si="17"/>
        <v>138.58962662309861</v>
      </c>
      <c r="AY37" s="137">
        <f t="shared" si="30"/>
        <v>1.4534947569739187</v>
      </c>
      <c r="AZ37" s="138">
        <f t="shared" si="7"/>
        <v>1</v>
      </c>
      <c r="BA37" s="141">
        <f t="shared" si="25"/>
        <v>0.37857347922668139</v>
      </c>
      <c r="BB37" s="139">
        <f t="shared" si="18"/>
        <v>198.74050825141885</v>
      </c>
      <c r="BC37" s="137">
        <f t="shared" si="19"/>
        <v>1.0106575828986228</v>
      </c>
      <c r="BD37" s="138">
        <f t="shared" si="26"/>
        <v>8.6485674765156187E-2</v>
      </c>
      <c r="BE37" s="138">
        <f t="shared" si="8"/>
        <v>1.3059725621251344</v>
      </c>
      <c r="BF37" s="138">
        <f t="shared" si="21"/>
        <v>6.9575364573754697E-2</v>
      </c>
      <c r="BG37" s="137">
        <f t="shared" si="31"/>
        <v>0.46874999999999989</v>
      </c>
      <c r="BH37" s="141">
        <f t="shared" si="33"/>
        <v>2.349324893176364E-2</v>
      </c>
      <c r="BI37" s="137">
        <f t="shared" si="32"/>
        <v>0.46874999999999989</v>
      </c>
      <c r="BJ37" s="141">
        <f t="shared" si="33"/>
        <v>0.13014000000000003</v>
      </c>
    </row>
    <row r="38" spans="3:62" ht="16.5" customHeight="1">
      <c r="J38" s="54"/>
      <c r="AA38" s="110">
        <f>B7</f>
        <v>30</v>
      </c>
      <c r="AB38" s="111">
        <f>LN(B7)</f>
        <v>3.4011973816621555</v>
      </c>
      <c r="AC38" s="111">
        <f>IF(AB39="",AC37,AB39-AB38)</f>
        <v>0.5108256237659905</v>
      </c>
      <c r="AD38" s="111">
        <f>LN(C7)</f>
        <v>-2.7968814148088259</v>
      </c>
      <c r="AE38" s="111">
        <f>AD39-AD38</f>
        <v>0.29584538309094199</v>
      </c>
      <c r="AF38" s="111">
        <f>AF39</f>
        <v>0.49515645696750471</v>
      </c>
      <c r="AG38" s="111">
        <f>1/AF38</f>
        <v>2.0195636872521412</v>
      </c>
      <c r="AL38" s="111"/>
      <c r="AM38" s="137">
        <f t="shared" si="27"/>
        <v>1.0060951409033523</v>
      </c>
      <c r="AN38" s="138">
        <f t="shared" si="4"/>
        <v>1</v>
      </c>
      <c r="AO38" s="141">
        <f t="shared" si="22"/>
        <v>9.6045987384804452E-2</v>
      </c>
      <c r="AP38" s="139">
        <f t="shared" si="15"/>
        <v>24.158312749985498</v>
      </c>
      <c r="AQ38" s="137">
        <f t="shared" si="28"/>
        <v>1.0473512795826778</v>
      </c>
      <c r="AR38" s="138">
        <f t="shared" si="5"/>
        <v>1</v>
      </c>
      <c r="AS38" s="141">
        <f t="shared" si="23"/>
        <v>0.12518350535887598</v>
      </c>
      <c r="AT38" s="139">
        <f t="shared" si="16"/>
        <v>34.122521362983569</v>
      </c>
      <c r="AU38" s="137">
        <f t="shared" si="29"/>
        <v>1.357733659640129</v>
      </c>
      <c r="AV38" s="138">
        <f t="shared" si="6"/>
        <v>1</v>
      </c>
      <c r="AW38" s="141">
        <f t="shared" si="24"/>
        <v>0.31453777955178902</v>
      </c>
      <c r="AX38" s="139">
        <f t="shared" si="17"/>
        <v>144.08250709107091</v>
      </c>
      <c r="AY38" s="137">
        <f t="shared" si="30"/>
        <v>1.513594966694962</v>
      </c>
      <c r="AZ38" s="138">
        <f t="shared" si="7"/>
        <v>1</v>
      </c>
      <c r="BA38" s="141">
        <f t="shared" si="25"/>
        <v>0.3635414885045995</v>
      </c>
      <c r="BB38" s="139">
        <f t="shared" si="18"/>
        <v>206.95818235630816</v>
      </c>
      <c r="BC38" s="137">
        <f t="shared" si="19"/>
        <v>1.0473512795826778</v>
      </c>
      <c r="BD38" s="138">
        <f t="shared" si="26"/>
        <v>8.3455670239250657E-2</v>
      </c>
      <c r="BE38" s="138">
        <f t="shared" si="8"/>
        <v>1.357733659640129</v>
      </c>
      <c r="BF38" s="138">
        <f t="shared" si="21"/>
        <v>6.6922931819529574E-2</v>
      </c>
      <c r="BG38" s="137">
        <f t="shared" si="31"/>
        <v>0.48999999999999988</v>
      </c>
      <c r="BH38" s="141">
        <f t="shared" si="33"/>
        <v>2.2474409054620829E-2</v>
      </c>
      <c r="BI38" s="137">
        <f t="shared" si="32"/>
        <v>0.48999999999999988</v>
      </c>
      <c r="BJ38" s="141">
        <f t="shared" si="33"/>
        <v>0.12449617346938779</v>
      </c>
    </row>
    <row r="39" spans="3:62" ht="16.5" customHeight="1">
      <c r="J39" s="54"/>
      <c r="AA39" s="110">
        <f t="shared" ref="AA39:AA41" si="43">B8</f>
        <v>50</v>
      </c>
      <c r="AB39" s="111">
        <f t="shared" ref="AB39:AB41" si="44">LN(B8)</f>
        <v>3.912023005428146</v>
      </c>
      <c r="AC39" s="111">
        <f t="shared" ref="AC39:AC41" si="45">IF(AB40="",AC38,AB40-AB39)</f>
        <v>2.2512917986064953</v>
      </c>
      <c r="AD39" s="111">
        <f>LN(C8)</f>
        <v>-2.5010360317178839</v>
      </c>
      <c r="AE39" s="111">
        <f>AD40-AD39</f>
        <v>1.1147416705979933</v>
      </c>
      <c r="AF39" s="111">
        <f t="shared" ref="AF39:AF41" si="46">AE39/AC39</f>
        <v>0.49515645696750471</v>
      </c>
      <c r="AG39" s="111">
        <f t="shared" ref="AG39:AG41" si="47">1/AF39</f>
        <v>2.0195636872521412</v>
      </c>
      <c r="AL39" s="111"/>
      <c r="AM39" s="137">
        <f t="shared" si="27"/>
        <v>1.0410078433657126</v>
      </c>
      <c r="AN39" s="138">
        <f t="shared" si="4"/>
        <v>1</v>
      </c>
      <c r="AO39" s="141">
        <f t="shared" si="22"/>
        <v>9.2824854132409471E-2</v>
      </c>
      <c r="AP39" s="139">
        <f t="shared" si="15"/>
        <v>24.996635042522954</v>
      </c>
      <c r="AQ39" s="137">
        <f t="shared" si="28"/>
        <v>1.0840449762667328</v>
      </c>
      <c r="AR39" s="138">
        <f t="shared" si="5"/>
        <v>1</v>
      </c>
      <c r="AS39" s="141">
        <f t="shared" si="23"/>
        <v>0.12094618525126899</v>
      </c>
      <c r="AT39" s="139">
        <f t="shared" si="16"/>
        <v>35.317995578174688</v>
      </c>
      <c r="AU39" s="137">
        <f t="shared" si="29"/>
        <v>1.4094947571551237</v>
      </c>
      <c r="AV39" s="138">
        <f t="shared" si="6"/>
        <v>1</v>
      </c>
      <c r="AW39" s="141">
        <f t="shared" si="24"/>
        <v>0.30298695923345687</v>
      </c>
      <c r="AX39" s="139">
        <f t="shared" si="17"/>
        <v>149.57538755904324</v>
      </c>
      <c r="AY39" s="137">
        <f t="shared" si="30"/>
        <v>1.5736951764160052</v>
      </c>
      <c r="AZ39" s="138">
        <f t="shared" si="7"/>
        <v>1</v>
      </c>
      <c r="BA39" s="141">
        <f t="shared" si="25"/>
        <v>0.3496576563439226</v>
      </c>
      <c r="BB39" s="139">
        <f t="shared" si="18"/>
        <v>215.17585646119753</v>
      </c>
      <c r="BC39" s="137">
        <f t="shared" si="19"/>
        <v>1.0840449762667328</v>
      </c>
      <c r="BD39" s="138">
        <f t="shared" si="26"/>
        <v>8.0630790167512664E-2</v>
      </c>
      <c r="BE39" s="138">
        <f t="shared" si="8"/>
        <v>1.4094947571551237</v>
      </c>
      <c r="BF39" s="138">
        <f t="shared" si="21"/>
        <v>6.4465310475203583E-2</v>
      </c>
      <c r="BG39" s="137">
        <f t="shared" si="31"/>
        <v>0.51124999999999987</v>
      </c>
      <c r="BH39" s="141">
        <f t="shared" si="33"/>
        <v>2.1540264912986221E-2</v>
      </c>
      <c r="BI39" s="137">
        <f t="shared" si="32"/>
        <v>0.51124999999999987</v>
      </c>
      <c r="BJ39" s="141">
        <f t="shared" si="33"/>
        <v>0.11932151589242058</v>
      </c>
    </row>
    <row r="40" spans="3:62" ht="16.5" customHeight="1">
      <c r="J40" s="54"/>
      <c r="AA40" s="110">
        <f t="shared" si="43"/>
        <v>475</v>
      </c>
      <c r="AB40" s="111">
        <f t="shared" si="44"/>
        <v>6.1633148040346413</v>
      </c>
      <c r="AC40" s="111">
        <f t="shared" si="45"/>
        <v>0.71912266696320604</v>
      </c>
      <c r="AD40" s="111">
        <f>LN(C9)</f>
        <v>-1.3862943611198906</v>
      </c>
      <c r="AE40" s="111">
        <f>AD41-AD40</f>
        <v>0.30453918951820391</v>
      </c>
      <c r="AF40" s="111">
        <f t="shared" si="46"/>
        <v>0.42348712328071519</v>
      </c>
      <c r="AG40" s="111">
        <f t="shared" si="47"/>
        <v>2.3613468864250073</v>
      </c>
      <c r="AL40" s="111"/>
      <c r="AM40" s="137">
        <f t="shared" si="27"/>
        <v>1.0759205458280729</v>
      </c>
      <c r="AN40" s="138">
        <f t="shared" si="4"/>
        <v>1</v>
      </c>
      <c r="AO40" s="141">
        <f t="shared" si="22"/>
        <v>8.9812766923922732E-2</v>
      </c>
      <c r="AP40" s="139">
        <f t="shared" si="15"/>
        <v>25.834957335060405</v>
      </c>
      <c r="AQ40" s="137">
        <f t="shared" si="28"/>
        <v>1.1207386729507878</v>
      </c>
      <c r="AR40" s="138">
        <f t="shared" si="5"/>
        <v>1</v>
      </c>
      <c r="AS40" s="141">
        <f t="shared" si="23"/>
        <v>0.11698633025222724</v>
      </c>
      <c r="AT40" s="139">
        <f t="shared" si="16"/>
        <v>36.513469793365793</v>
      </c>
      <c r="AU40" s="137">
        <f t="shared" si="29"/>
        <v>1.4612558546701184</v>
      </c>
      <c r="AV40" s="138">
        <f t="shared" si="6"/>
        <v>1</v>
      </c>
      <c r="AW40" s="141">
        <f t="shared" si="24"/>
        <v>0.29225445301797609</v>
      </c>
      <c r="AX40" s="139">
        <f t="shared" si="17"/>
        <v>155.06826802701556</v>
      </c>
      <c r="AY40" s="137">
        <f t="shared" si="30"/>
        <v>1.6337953861370484</v>
      </c>
      <c r="AZ40" s="138">
        <f t="shared" si="7"/>
        <v>1</v>
      </c>
      <c r="BA40" s="141">
        <f t="shared" si="25"/>
        <v>0.33679527550042848</v>
      </c>
      <c r="BB40" s="139">
        <f t="shared" si="18"/>
        <v>223.39353056608684</v>
      </c>
      <c r="BC40" s="137">
        <f t="shared" si="19"/>
        <v>1.1207386729507878</v>
      </c>
      <c r="BD40" s="138">
        <f t="shared" si="26"/>
        <v>7.7990886834818154E-2</v>
      </c>
      <c r="BE40" s="138">
        <f t="shared" si="8"/>
        <v>1.4612558546701184</v>
      </c>
      <c r="BF40" s="138">
        <f t="shared" si="21"/>
        <v>6.2181798514462996E-2</v>
      </c>
      <c r="BG40" s="137">
        <f t="shared" si="31"/>
        <v>0.53249999999999986</v>
      </c>
      <c r="BH40" s="141">
        <f t="shared" si="33"/>
        <v>2.0680676876552499E-2</v>
      </c>
      <c r="BI40" s="137">
        <f t="shared" si="32"/>
        <v>0.53249999999999986</v>
      </c>
      <c r="BJ40" s="141">
        <f t="shared" si="33"/>
        <v>0.11455985915492961</v>
      </c>
    </row>
    <row r="41" spans="3:62" ht="16.5" customHeight="1">
      <c r="J41" s="54"/>
      <c r="AA41" s="110">
        <f t="shared" si="43"/>
        <v>975</v>
      </c>
      <c r="AB41" s="111">
        <f t="shared" si="44"/>
        <v>6.8824374709978473</v>
      </c>
      <c r="AC41" s="111">
        <f t="shared" si="45"/>
        <v>0.71912266696320604</v>
      </c>
      <c r="AD41" s="111">
        <f>LN(C10)</f>
        <v>-1.0817551716016867</v>
      </c>
      <c r="AE41" s="111">
        <f>AE40</f>
        <v>0.30453918951820391</v>
      </c>
      <c r="AF41" s="111">
        <f t="shared" si="46"/>
        <v>0.42348712328071519</v>
      </c>
      <c r="AG41" s="111">
        <f t="shared" si="47"/>
        <v>2.3613468864250073</v>
      </c>
      <c r="AH41" s="111" t="s">
        <v>4</v>
      </c>
      <c r="AI41" s="111" t="s">
        <v>5</v>
      </c>
      <c r="AJ41" s="111" t="s">
        <v>6</v>
      </c>
      <c r="AK41" s="111" t="s">
        <v>7</v>
      </c>
      <c r="AM41" s="137">
        <f t="shared" si="27"/>
        <v>1.1108332482904333</v>
      </c>
      <c r="AN41" s="138">
        <f t="shared" si="4"/>
        <v>1</v>
      </c>
      <c r="AO41" s="141">
        <f t="shared" si="22"/>
        <v>8.699001525191262E-2</v>
      </c>
      <c r="AP41" s="139">
        <f t="shared" si="15"/>
        <v>26.673279627597854</v>
      </c>
      <c r="AQ41" s="137">
        <f t="shared" si="28"/>
        <v>1.1574323696348428</v>
      </c>
      <c r="AR41" s="138">
        <f t="shared" si="5"/>
        <v>1</v>
      </c>
      <c r="AS41" s="141">
        <f t="shared" si="23"/>
        <v>0.11327755120727086</v>
      </c>
      <c r="AT41" s="139">
        <f t="shared" si="16"/>
        <v>37.708944008556898</v>
      </c>
      <c r="AU41" s="137">
        <f t="shared" si="29"/>
        <v>1.5130169521851131</v>
      </c>
      <c r="AV41" s="138">
        <f t="shared" si="6"/>
        <v>1</v>
      </c>
      <c r="AW41" s="141">
        <f t="shared" si="24"/>
        <v>0.28225627605108372</v>
      </c>
      <c r="AX41" s="139">
        <f t="shared" si="17"/>
        <v>160.56114849498786</v>
      </c>
      <c r="AY41" s="137">
        <f t="shared" si="30"/>
        <v>1.6938955958580917</v>
      </c>
      <c r="AZ41" s="138">
        <f t="shared" si="7"/>
        <v>1</v>
      </c>
      <c r="BA41" s="141">
        <f t="shared" si="25"/>
        <v>0.32484562125956107</v>
      </c>
      <c r="BB41" s="139">
        <f t="shared" si="18"/>
        <v>231.61120467097621</v>
      </c>
      <c r="BC41" s="137">
        <f t="shared" si="19"/>
        <v>1.1574323696348428</v>
      </c>
      <c r="BD41" s="138">
        <f t="shared" si="26"/>
        <v>7.55183674715139E-2</v>
      </c>
      <c r="BE41" s="138">
        <f t="shared" si="8"/>
        <v>1.5130169521851131</v>
      </c>
      <c r="BF41" s="138">
        <f t="shared" si="21"/>
        <v>6.0054526819379513E-2</v>
      </c>
      <c r="BG41" s="137">
        <f t="shared" si="31"/>
        <v>0.55374999999999985</v>
      </c>
      <c r="BH41" s="141">
        <f t="shared" si="33"/>
        <v>1.9887061736820238E-2</v>
      </c>
      <c r="BI41" s="137">
        <f t="shared" si="32"/>
        <v>0.55374999999999985</v>
      </c>
      <c r="BJ41" s="141">
        <f t="shared" si="33"/>
        <v>0.11016365688487588</v>
      </c>
    </row>
    <row r="42" spans="3:62" ht="16.5" customHeight="1">
      <c r="J42" s="54"/>
      <c r="AH42" s="111" t="str">
        <f>IF($A$26="ordinaria","tra TcTd",IF(AM42=$AE$7,"0.8 Tiso","tra TcTd"))</f>
        <v>tra TcTd</v>
      </c>
      <c r="AI42" s="111" t="str">
        <f>IF($A$26="ordinaria","tra TcTd",IF(AQ42=$AE$7,"0.8 Tiso","tra TcTd"))</f>
        <v>tra TcTd</v>
      </c>
      <c r="AJ42" s="111" t="str">
        <f>IF($A$26="ordinaria","tra TcTd",IF(AU42=$AE$7,"0.8 Tiso","tra TcTd"))</f>
        <v>tra TcTd</v>
      </c>
      <c r="AK42" s="111" t="str">
        <f>IF($A$26="ordinaria","tra TcTd",IF(AY42=$AE$7,"0.8 Tiso","tra TcTd"))</f>
        <v>tra TcTd</v>
      </c>
      <c r="AL42" s="145" t="s">
        <v>170</v>
      </c>
      <c r="AM42" s="137">
        <f>IF(A26="ordinaria",(AM22+AM63)/2,IF($AE$7&gt;AO$4,(AM22+AM63)/2,$AE$7))</f>
        <v>1.1457459507527936</v>
      </c>
      <c r="AN42" s="138">
        <f t="shared" si="4"/>
        <v>1</v>
      </c>
      <c r="AO42" s="141">
        <f t="shared" si="22"/>
        <v>8.433929105106272E-2</v>
      </c>
      <c r="AP42" s="139">
        <f t="shared" si="15"/>
        <v>27.511601920135309</v>
      </c>
      <c r="AQ42" s="137">
        <f>IF(E26="ordinaria",(AQ22+AQ63)/2,IF($AE$7&gt;AS$4,(AQ22+AQ63)/2,$AE$7))</f>
        <v>1.1941260663188982</v>
      </c>
      <c r="AR42" s="138">
        <f t="shared" si="5"/>
        <v>1</v>
      </c>
      <c r="AS42" s="141">
        <f t="shared" si="23"/>
        <v>0.10979670255791049</v>
      </c>
      <c r="AT42" s="139">
        <f t="shared" si="16"/>
        <v>38.904418223748024</v>
      </c>
      <c r="AU42" s="137">
        <f>IF(H26="ordinaria",(AU22+AU63)/2,IF($AE$7&gt;AW$4,(AU22+AU63)/2,$AE$7))</f>
        <v>1.5647780497001076</v>
      </c>
      <c r="AV42" s="138">
        <f t="shared" si="6"/>
        <v>1</v>
      </c>
      <c r="AW42" s="141">
        <f t="shared" si="24"/>
        <v>0.2729195559765023</v>
      </c>
      <c r="AX42" s="139">
        <f t="shared" si="17"/>
        <v>166.05402896296016</v>
      </c>
      <c r="AY42" s="137">
        <f>IF(K26="ordinaria",(AY22+AY63)/2,IF($AE$7&gt;BA$4,(AY22+AY63)/2,$AE$7))</f>
        <v>1.7539958055791351</v>
      </c>
      <c r="AZ42" s="138">
        <f t="shared" si="7"/>
        <v>1</v>
      </c>
      <c r="BA42" s="141">
        <f t="shared" si="25"/>
        <v>0.31371487060293901</v>
      </c>
      <c r="BB42" s="139">
        <f t="shared" si="18"/>
        <v>239.82887877586555</v>
      </c>
      <c r="BC42" s="137">
        <f t="shared" si="19"/>
        <v>1.1941260663188982</v>
      </c>
      <c r="BD42" s="138">
        <f t="shared" si="26"/>
        <v>7.3197801705273666E-2</v>
      </c>
      <c r="BE42" s="138">
        <f t="shared" si="8"/>
        <v>1.5647780497001076</v>
      </c>
      <c r="BF42" s="138">
        <f t="shared" si="21"/>
        <v>5.8067990633298358E-2</v>
      </c>
      <c r="BG42" s="137">
        <f>(BG22+BG63)/2</f>
        <v>0.57499999999999996</v>
      </c>
      <c r="BH42" s="141">
        <f t="shared" si="33"/>
        <v>1.9152105107416006E-2</v>
      </c>
      <c r="BI42" s="137">
        <f>(BI22+BI63)/2</f>
        <v>0.57499999999999996</v>
      </c>
      <c r="BJ42" s="141">
        <f t="shared" si="33"/>
        <v>0.10609239130434785</v>
      </c>
    </row>
    <row r="43" spans="3:62" ht="16.5" customHeight="1">
      <c r="J43" s="54"/>
      <c r="AA43" s="112" t="s">
        <v>259</v>
      </c>
      <c r="AH43" s="111" t="str">
        <f t="shared" ref="AH43:AJ43" si="48">AH42</f>
        <v>tra TcTd</v>
      </c>
      <c r="AI43" s="111" t="str">
        <f t="shared" si="48"/>
        <v>tra TcTd</v>
      </c>
      <c r="AJ43" s="111" t="str">
        <f t="shared" si="48"/>
        <v>tra TcTd</v>
      </c>
      <c r="AK43" s="111" t="str">
        <f>AK42</f>
        <v>tra TcTd</v>
      </c>
      <c r="AL43" s="145" t="s">
        <v>170</v>
      </c>
      <c r="AM43" s="137">
        <f>AM42</f>
        <v>1.1457459507527936</v>
      </c>
      <c r="AN43" s="138">
        <f t="shared" ref="AN43:AN83" si="49">$AH$45</f>
        <v>1</v>
      </c>
      <c r="AO43" s="141">
        <f t="shared" si="22"/>
        <v>8.433929105106272E-2</v>
      </c>
      <c r="AP43" s="139">
        <f t="shared" si="15"/>
        <v>27.511601920135309</v>
      </c>
      <c r="AQ43" s="137">
        <f>AQ42</f>
        <v>1.1941260663188982</v>
      </c>
      <c r="AR43" s="138">
        <f t="shared" ref="AR43:AR83" si="50">$AI$45</f>
        <v>1</v>
      </c>
      <c r="AS43" s="141">
        <f t="shared" si="23"/>
        <v>0.10979670255791049</v>
      </c>
      <c r="AT43" s="139">
        <f t="shared" si="16"/>
        <v>38.904418223748024</v>
      </c>
      <c r="AU43" s="137">
        <f>AU42</f>
        <v>1.5647780497001076</v>
      </c>
      <c r="AV43" s="138">
        <f t="shared" ref="AV43:AV83" si="51">$AJ$45</f>
        <v>1</v>
      </c>
      <c r="AW43" s="141">
        <f t="shared" si="24"/>
        <v>0.2729195559765023</v>
      </c>
      <c r="AX43" s="139">
        <f t="shared" si="17"/>
        <v>166.05402896296016</v>
      </c>
      <c r="AY43" s="137">
        <f>AY42</f>
        <v>1.7539958055791351</v>
      </c>
      <c r="AZ43" s="138">
        <f t="shared" ref="AZ43:AZ83" si="52">$AK$45</f>
        <v>1</v>
      </c>
      <c r="BA43" s="141">
        <f t="shared" si="25"/>
        <v>0.31371487060293901</v>
      </c>
      <c r="BB43" s="139">
        <f t="shared" si="18"/>
        <v>239.82887877586555</v>
      </c>
      <c r="BC43" s="137">
        <f t="shared" si="19"/>
        <v>1.1941260663188982</v>
      </c>
      <c r="BD43" s="138">
        <f t="shared" si="26"/>
        <v>7.3197801705273666E-2</v>
      </c>
      <c r="BE43" s="138">
        <f t="shared" si="8"/>
        <v>1.5647780497001076</v>
      </c>
      <c r="BF43" s="138">
        <f t="shared" si="21"/>
        <v>5.8067990633298358E-2</v>
      </c>
      <c r="BG43" s="137">
        <f>BG42</f>
        <v>0.57499999999999996</v>
      </c>
      <c r="BH43" s="141">
        <f t="shared" si="33"/>
        <v>1.9152105107416006E-2</v>
      </c>
      <c r="BI43" s="137">
        <f>BI42</f>
        <v>0.57499999999999996</v>
      </c>
      <c r="BJ43" s="141">
        <f t="shared" si="33"/>
        <v>0.10609239130434785</v>
      </c>
    </row>
    <row r="44" spans="3:62" ht="16.5" customHeight="1">
      <c r="J44" s="54"/>
      <c r="AA44" s="30" t="s">
        <v>214</v>
      </c>
      <c r="AB44" s="146" t="s">
        <v>269</v>
      </c>
      <c r="AC44" s="146" t="s">
        <v>268</v>
      </c>
      <c r="AD44" s="30" t="s">
        <v>167</v>
      </c>
      <c r="AE44" s="146" t="s">
        <v>267</v>
      </c>
      <c r="AF44" s="30" t="s">
        <v>167</v>
      </c>
      <c r="AG44" s="144" t="s">
        <v>169</v>
      </c>
      <c r="AH44" s="110">
        <f>IF(AH43="tra TcTd",$B$13,$E$13)</f>
        <v>0.05</v>
      </c>
      <c r="AI44" s="110">
        <f>IF(AI43="tra TcTd",$B$13,$E$13)</f>
        <v>0.05</v>
      </c>
      <c r="AJ44" s="110">
        <f>IF(AJ43="tra TcTd",$B$13,$E$13)</f>
        <v>0.05</v>
      </c>
      <c r="AK44" s="110">
        <f>IF(AK43="tra TcTd",$B$13,$E$13)</f>
        <v>0.05</v>
      </c>
      <c r="AM44" s="137">
        <f>AM43+(AM$63-AM$43)/20</f>
        <v>1.180658653215154</v>
      </c>
      <c r="AN44" s="138">
        <f t="shared" si="49"/>
        <v>1</v>
      </c>
      <c r="AO44" s="141">
        <f t="shared" si="22"/>
        <v>8.1845333490735098E-2</v>
      </c>
      <c r="AP44" s="139">
        <f t="shared" si="15"/>
        <v>28.349924212672757</v>
      </c>
      <c r="AQ44" s="137">
        <f>AQ43+(AQ$63-AQ$43)/20</f>
        <v>1.2308197630029534</v>
      </c>
      <c r="AR44" s="138">
        <f t="shared" si="50"/>
        <v>1</v>
      </c>
      <c r="AS44" s="141">
        <f t="shared" si="23"/>
        <v>0.10652339884466833</v>
      </c>
      <c r="AT44" s="139">
        <f t="shared" si="16"/>
        <v>40.099892438939136</v>
      </c>
      <c r="AU44" s="137">
        <f>AU43+(AU$63-AU$43)/20</f>
        <v>1.6165391472151023</v>
      </c>
      <c r="AV44" s="138">
        <f t="shared" si="51"/>
        <v>1</v>
      </c>
      <c r="AW44" s="141">
        <f t="shared" si="24"/>
        <v>0.26418075384171613</v>
      </c>
      <c r="AX44" s="139">
        <f t="shared" si="17"/>
        <v>171.54690943093249</v>
      </c>
      <c r="AY44" s="137">
        <f>AY43+(AY$63-AY$43)/20</f>
        <v>1.8140960153001784</v>
      </c>
      <c r="AZ44" s="138">
        <f t="shared" si="52"/>
        <v>1</v>
      </c>
      <c r="BA44" s="141">
        <f t="shared" si="25"/>
        <v>0.30332163377488347</v>
      </c>
      <c r="BB44" s="139">
        <f t="shared" si="18"/>
        <v>248.04655288075486</v>
      </c>
      <c r="BC44" s="137">
        <f t="shared" si="19"/>
        <v>1.2308197630029534</v>
      </c>
      <c r="BD44" s="138">
        <f t="shared" si="26"/>
        <v>7.1015599229778889E-2</v>
      </c>
      <c r="BE44" s="138">
        <f t="shared" si="8"/>
        <v>1.6165391472151023</v>
      </c>
      <c r="BF44" s="138">
        <f t="shared" si="21"/>
        <v>5.6208671030152368E-2</v>
      </c>
      <c r="BG44" s="137">
        <f>BG43+(BG$63-BG$43)/20</f>
        <v>0.59624999999999995</v>
      </c>
      <c r="BH44" s="141">
        <f t="shared" si="33"/>
        <v>1.8469535323713548E-2</v>
      </c>
      <c r="BI44" s="137">
        <f>BI43+(BI$63-BI$43)/20</f>
        <v>0.59624999999999995</v>
      </c>
      <c r="BJ44" s="141">
        <f t="shared" si="33"/>
        <v>0.10231132075471699</v>
      </c>
    </row>
    <row r="45" spans="3:62" ht="16.5" customHeight="1">
      <c r="J45" s="54"/>
      <c r="AA45" s="110">
        <f>B7</f>
        <v>30</v>
      </c>
      <c r="AB45" s="110">
        <f>AA46-AA45</f>
        <v>20</v>
      </c>
      <c r="AC45" s="110">
        <f>D8-D7</f>
        <v>-4.4000000000000039E-2</v>
      </c>
      <c r="AD45" s="115">
        <f>AC45/AB45</f>
        <v>-2.2000000000000019E-3</v>
      </c>
      <c r="AE45" s="111">
        <f>E8-E7</f>
        <v>1.1999999999999955E-2</v>
      </c>
      <c r="AF45" s="115">
        <f>AE45/AB45</f>
        <v>5.9999999999999778E-4</v>
      </c>
      <c r="AG45" s="144" t="s">
        <v>12</v>
      </c>
      <c r="AH45" s="111">
        <f>IF(AH43="tra TcTd",$AB$6,$AB$7)</f>
        <v>1</v>
      </c>
      <c r="AI45" s="111">
        <f>IF(AI43="tra TcTd",$AB$6,$AB$7)</f>
        <v>1</v>
      </c>
      <c r="AJ45" s="111">
        <f>IF(AJ43="tra TcTd",$AB$6,$AB$7)</f>
        <v>1</v>
      </c>
      <c r="AK45" s="111">
        <f>IF(AK43="tra TcTd",$AB$6,$AB$7)</f>
        <v>1</v>
      </c>
      <c r="AM45" s="137">
        <f t="shared" ref="AM45:AM62" si="53">AM44+(AM$63-AM$42)/20</f>
        <v>1.2155713556775143</v>
      </c>
      <c r="AN45" s="138">
        <f t="shared" si="49"/>
        <v>1</v>
      </c>
      <c r="AO45" s="141">
        <f t="shared" si="22"/>
        <v>7.9494634979497103E-2</v>
      </c>
      <c r="AP45" s="139">
        <f t="shared" si="15"/>
        <v>29.188246505210216</v>
      </c>
      <c r="AQ45" s="137">
        <f t="shared" ref="AQ45:AQ62" si="54">AQ44+(AQ$63-AQ$42)/20</f>
        <v>1.2675134596870086</v>
      </c>
      <c r="AR45" s="138">
        <f t="shared" si="50"/>
        <v>1</v>
      </c>
      <c r="AS45" s="141">
        <f t="shared" si="23"/>
        <v>0.10343961519165207</v>
      </c>
      <c r="AT45" s="139">
        <f t="shared" si="16"/>
        <v>41.295366654130248</v>
      </c>
      <c r="AU45" s="137">
        <f t="shared" ref="AU45:AU62" si="55">AU44+(AU$63-AU$42)/20</f>
        <v>1.668300244730097</v>
      </c>
      <c r="AV45" s="138">
        <f t="shared" si="51"/>
        <v>1</v>
      </c>
      <c r="AW45" s="141">
        <f t="shared" si="24"/>
        <v>0.25598421619546158</v>
      </c>
      <c r="AX45" s="139">
        <f t="shared" si="17"/>
        <v>177.03978989890481</v>
      </c>
      <c r="AY45" s="137">
        <f t="shared" ref="AY45:AY62" si="56">AY44+(AY$63-AY$42)/20</f>
        <v>1.8741962250212216</v>
      </c>
      <c r="AZ45" s="138">
        <f t="shared" si="52"/>
        <v>1</v>
      </c>
      <c r="BA45" s="141">
        <f t="shared" si="25"/>
        <v>0.29359496078332226</v>
      </c>
      <c r="BB45" s="139">
        <f t="shared" si="18"/>
        <v>256.2642269856442</v>
      </c>
      <c r="BC45" s="137">
        <f t="shared" si="19"/>
        <v>1.2675134596870086</v>
      </c>
      <c r="BD45" s="138">
        <f t="shared" si="26"/>
        <v>6.8959743461101383E-2</v>
      </c>
      <c r="BE45" s="138">
        <f t="shared" si="8"/>
        <v>1.668300244730097</v>
      </c>
      <c r="BF45" s="138">
        <f t="shared" si="21"/>
        <v>5.4464726850098205E-2</v>
      </c>
      <c r="BG45" s="137">
        <f t="shared" ref="BG45:BG62" si="57">BG44+(BG$63-BG$43)/20</f>
        <v>0.61749999999999994</v>
      </c>
      <c r="BH45" s="141">
        <f t="shared" si="33"/>
        <v>1.783394402714851E-2</v>
      </c>
      <c r="BI45" s="137">
        <f t="shared" ref="BI45:BI62" si="58">BI44+(BI$63-BI$43)/20</f>
        <v>0.61749999999999994</v>
      </c>
      <c r="BJ45" s="141">
        <f t="shared" si="33"/>
        <v>9.8790485829959529E-2</v>
      </c>
    </row>
    <row r="46" spans="3:62" ht="16.5" customHeight="1">
      <c r="J46" s="54"/>
      <c r="AA46" s="110">
        <f t="shared" ref="AA46:AA48" si="59">B8</f>
        <v>50</v>
      </c>
      <c r="AB46" s="110">
        <f t="shared" ref="AB46:AB47" si="60">AA47-AA46</f>
        <v>425</v>
      </c>
      <c r="AC46" s="110">
        <f t="shared" ref="AC46:AC47" si="61">D9-D8</f>
        <v>9.4000000000000306E-2</v>
      </c>
      <c r="AD46" s="115">
        <f t="shared" ref="AD46:AD48" si="62">AC46/AB46</f>
        <v>2.2117647058823601E-4</v>
      </c>
      <c r="AE46" s="111">
        <f t="shared" ref="AE46:AE47" si="63">E9-E8</f>
        <v>6.8000000000000005E-2</v>
      </c>
      <c r="AF46" s="115">
        <f t="shared" ref="AF46:AF48" si="64">AE46/AB46</f>
        <v>1.6000000000000001E-4</v>
      </c>
      <c r="AL46" s="111"/>
      <c r="AM46" s="137">
        <f t="shared" si="53"/>
        <v>1.2504840581398746</v>
      </c>
      <c r="AN46" s="138">
        <f t="shared" si="49"/>
        <v>1</v>
      </c>
      <c r="AO46" s="141">
        <f t="shared" si="22"/>
        <v>7.7275196418623668E-2</v>
      </c>
      <c r="AP46" s="139">
        <f t="shared" si="15"/>
        <v>30.026568797747665</v>
      </c>
      <c r="AQ46" s="137">
        <f t="shared" si="54"/>
        <v>1.3042071563710638</v>
      </c>
      <c r="AR46" s="138">
        <f t="shared" si="50"/>
        <v>1</v>
      </c>
      <c r="AS46" s="141">
        <f t="shared" si="23"/>
        <v>0.1005293552330125</v>
      </c>
      <c r="AT46" s="139">
        <f t="shared" si="16"/>
        <v>42.490840869321367</v>
      </c>
      <c r="AU46" s="137">
        <f t="shared" si="55"/>
        <v>1.7200613422450917</v>
      </c>
      <c r="AV46" s="138">
        <f t="shared" si="51"/>
        <v>1</v>
      </c>
      <c r="AW46" s="141">
        <f t="shared" si="24"/>
        <v>0.24828098861202069</v>
      </c>
      <c r="AX46" s="139">
        <f t="shared" si="17"/>
        <v>182.53267036687711</v>
      </c>
      <c r="AY46" s="137">
        <f t="shared" si="56"/>
        <v>1.9342964347422649</v>
      </c>
      <c r="AZ46" s="138">
        <f t="shared" si="52"/>
        <v>1</v>
      </c>
      <c r="BA46" s="141">
        <f t="shared" si="25"/>
        <v>0.28447271953880987</v>
      </c>
      <c r="BB46" s="139">
        <f t="shared" si="18"/>
        <v>264.4819010905336</v>
      </c>
      <c r="BC46" s="137">
        <f t="shared" si="19"/>
        <v>1.3042071563710638</v>
      </c>
      <c r="BD46" s="138">
        <f t="shared" si="26"/>
        <v>6.7019570155341671E-2</v>
      </c>
      <c r="BE46" s="138">
        <f t="shared" si="8"/>
        <v>1.7200613422450917</v>
      </c>
      <c r="BF46" s="138">
        <f t="shared" si="21"/>
        <v>5.2825742257876743E-2</v>
      </c>
      <c r="BG46" s="137">
        <f t="shared" si="57"/>
        <v>0.63874999999999993</v>
      </c>
      <c r="BH46" s="141">
        <f t="shared" si="33"/>
        <v>1.7240642562448852E-2</v>
      </c>
      <c r="BI46" s="137">
        <f t="shared" si="58"/>
        <v>0.63874999999999993</v>
      </c>
      <c r="BJ46" s="141">
        <f t="shared" si="33"/>
        <v>9.5503913894324874E-2</v>
      </c>
    </row>
    <row r="47" spans="3:62" ht="16.5" customHeight="1">
      <c r="J47" s="54"/>
      <c r="AA47" s="110">
        <f t="shared" si="59"/>
        <v>475</v>
      </c>
      <c r="AB47" s="110">
        <f t="shared" si="60"/>
        <v>500</v>
      </c>
      <c r="AC47" s="110">
        <f t="shared" si="61"/>
        <v>3.4999999999999698E-2</v>
      </c>
      <c r="AD47" s="115">
        <f t="shared" si="62"/>
        <v>6.9999999999999398E-5</v>
      </c>
      <c r="AE47" s="111">
        <f t="shared" si="63"/>
        <v>2.300000000000002E-2</v>
      </c>
      <c r="AF47" s="115">
        <f t="shared" si="64"/>
        <v>4.6000000000000041E-5</v>
      </c>
      <c r="AL47" s="111"/>
      <c r="AM47" s="137">
        <f t="shared" si="53"/>
        <v>1.285396760602235</v>
      </c>
      <c r="AN47" s="138">
        <f t="shared" si="49"/>
        <v>1</v>
      </c>
      <c r="AO47" s="141">
        <f t="shared" si="22"/>
        <v>7.5176322341004367E-2</v>
      </c>
      <c r="AP47" s="139">
        <f t="shared" si="15"/>
        <v>30.864891090285123</v>
      </c>
      <c r="AQ47" s="137">
        <f t="shared" si="54"/>
        <v>1.340900853055119</v>
      </c>
      <c r="AR47" s="138">
        <f t="shared" si="50"/>
        <v>1</v>
      </c>
      <c r="AS47" s="141">
        <f t="shared" si="23"/>
        <v>9.7778373562474208E-2</v>
      </c>
      <c r="AT47" s="139">
        <f t="shared" si="16"/>
        <v>43.686315084512486</v>
      </c>
      <c r="AU47" s="137">
        <f t="shared" si="55"/>
        <v>1.7718224397600864</v>
      </c>
      <c r="AV47" s="138">
        <f t="shared" si="51"/>
        <v>1</v>
      </c>
      <c r="AW47" s="141">
        <f t="shared" si="24"/>
        <v>0.24102783718201271</v>
      </c>
      <c r="AX47" s="139">
        <f t="shared" si="17"/>
        <v>188.02555083484944</v>
      </c>
      <c r="AY47" s="137">
        <f t="shared" si="56"/>
        <v>1.9943966444633081</v>
      </c>
      <c r="AZ47" s="138">
        <f t="shared" si="52"/>
        <v>1</v>
      </c>
      <c r="BA47" s="141">
        <f t="shared" si="25"/>
        <v>0.27590026723767858</v>
      </c>
      <c r="BB47" s="139">
        <f t="shared" si="18"/>
        <v>272.69957519542288</v>
      </c>
      <c r="BC47" s="137">
        <f t="shared" si="19"/>
        <v>1.340900853055119</v>
      </c>
      <c r="BD47" s="138">
        <f t="shared" si="26"/>
        <v>6.5185582374982801E-2</v>
      </c>
      <c r="BE47" s="138">
        <f t="shared" si="8"/>
        <v>1.7718224397600864</v>
      </c>
      <c r="BF47" s="138">
        <f t="shared" si="21"/>
        <v>5.12825185493644E-2</v>
      </c>
      <c r="BG47" s="137">
        <f t="shared" si="57"/>
        <v>0.65999999999999992</v>
      </c>
      <c r="BH47" s="141">
        <f t="shared" si="33"/>
        <v>1.6685546116309399E-2</v>
      </c>
      <c r="BI47" s="137">
        <f t="shared" si="58"/>
        <v>0.65999999999999992</v>
      </c>
      <c r="BJ47" s="141">
        <f t="shared" si="33"/>
        <v>9.2428977272727295E-2</v>
      </c>
    </row>
    <row r="48" spans="3:62" ht="16.5" customHeight="1">
      <c r="J48" s="54"/>
      <c r="AA48" s="110">
        <f t="shared" si="59"/>
        <v>975</v>
      </c>
      <c r="AB48" s="110">
        <f>AB47</f>
        <v>500</v>
      </c>
      <c r="AC48" s="110">
        <f>AC47</f>
        <v>3.4999999999999698E-2</v>
      </c>
      <c r="AD48" s="115">
        <f t="shared" si="62"/>
        <v>6.9999999999999398E-5</v>
      </c>
      <c r="AE48" s="111">
        <f>AE47</f>
        <v>2.300000000000002E-2</v>
      </c>
      <c r="AF48" s="115">
        <f t="shared" si="64"/>
        <v>4.6000000000000041E-5</v>
      </c>
      <c r="AM48" s="137">
        <f t="shared" si="53"/>
        <v>1.3203094630645953</v>
      </c>
      <c r="AN48" s="138">
        <f t="shared" si="49"/>
        <v>1</v>
      </c>
      <c r="AO48" s="141">
        <f t="shared" si="22"/>
        <v>7.3188448552677532E-2</v>
      </c>
      <c r="AP48" s="139">
        <f t="shared" si="15"/>
        <v>31.703213382822568</v>
      </c>
      <c r="AQ48" s="137">
        <f t="shared" si="54"/>
        <v>1.3775945497391742</v>
      </c>
      <c r="AR48" s="138">
        <f t="shared" si="50"/>
        <v>1</v>
      </c>
      <c r="AS48" s="141">
        <f t="shared" si="23"/>
        <v>9.5173942539978532E-2</v>
      </c>
      <c r="AT48" s="139">
        <f t="shared" si="16"/>
        <v>44.881789299703605</v>
      </c>
      <c r="AU48" s="137">
        <f t="shared" si="55"/>
        <v>1.823583537275081</v>
      </c>
      <c r="AV48" s="138">
        <f t="shared" si="51"/>
        <v>1</v>
      </c>
      <c r="AW48" s="141">
        <f t="shared" si="24"/>
        <v>0.23418643664883579</v>
      </c>
      <c r="AX48" s="139">
        <f t="shared" si="17"/>
        <v>193.51843130282174</v>
      </c>
      <c r="AY48" s="137">
        <f t="shared" si="56"/>
        <v>2.0544968541843516</v>
      </c>
      <c r="AZ48" s="138">
        <f t="shared" si="52"/>
        <v>1</v>
      </c>
      <c r="BA48" s="141">
        <f t="shared" si="25"/>
        <v>0.26782935494141252</v>
      </c>
      <c r="BB48" s="139">
        <f t="shared" si="18"/>
        <v>280.91724930031228</v>
      </c>
      <c r="BC48" s="137">
        <f t="shared" si="19"/>
        <v>1.3775945497391742</v>
      </c>
      <c r="BD48" s="138">
        <f t="shared" si="26"/>
        <v>6.344929502665235E-2</v>
      </c>
      <c r="BE48" s="138">
        <f t="shared" si="8"/>
        <v>1.823583537275081</v>
      </c>
      <c r="BF48" s="138">
        <f t="shared" si="21"/>
        <v>0.05</v>
      </c>
      <c r="BG48" s="137">
        <f t="shared" si="57"/>
        <v>0.68124999999999991</v>
      </c>
      <c r="BH48" s="141">
        <f t="shared" si="33"/>
        <v>1.6165079540204335E-2</v>
      </c>
      <c r="BI48" s="137">
        <f t="shared" si="58"/>
        <v>0.68124999999999991</v>
      </c>
      <c r="BJ48" s="141">
        <f t="shared" si="33"/>
        <v>8.9545871559633047E-2</v>
      </c>
    </row>
    <row r="49" spans="10:62" ht="16.5" customHeight="1">
      <c r="J49" s="54"/>
      <c r="AL49" s="111"/>
      <c r="AM49" s="137">
        <f t="shared" si="53"/>
        <v>1.3552221655269556</v>
      </c>
      <c r="AN49" s="138">
        <f t="shared" si="49"/>
        <v>1</v>
      </c>
      <c r="AO49" s="141">
        <f t="shared" si="22"/>
        <v>7.130299641575219E-2</v>
      </c>
      <c r="AP49" s="139">
        <f t="shared" si="15"/>
        <v>32.541535675360031</v>
      </c>
      <c r="AQ49" s="137">
        <f t="shared" si="54"/>
        <v>1.4142882464232294</v>
      </c>
      <c r="AR49" s="138">
        <f t="shared" si="50"/>
        <v>1</v>
      </c>
      <c r="AS49" s="141">
        <f t="shared" si="23"/>
        <v>9.2704655399524841E-2</v>
      </c>
      <c r="AT49" s="139">
        <f t="shared" si="16"/>
        <v>46.077263514894717</v>
      </c>
      <c r="AU49" s="137">
        <f t="shared" si="55"/>
        <v>1.8753446347900757</v>
      </c>
      <c r="AV49" s="138">
        <f t="shared" si="51"/>
        <v>1</v>
      </c>
      <c r="AW49" s="141">
        <f t="shared" si="24"/>
        <v>0.2277226929938321</v>
      </c>
      <c r="AX49" s="139">
        <f t="shared" si="17"/>
        <v>199.01131177079407</v>
      </c>
      <c r="AY49" s="137">
        <f t="shared" si="56"/>
        <v>2.114597063905395</v>
      </c>
      <c r="AZ49" s="138">
        <f t="shared" si="52"/>
        <v>1</v>
      </c>
      <c r="BA49" s="141">
        <f t="shared" si="25"/>
        <v>0.26021721895759425</v>
      </c>
      <c r="BB49" s="139">
        <f t="shared" si="18"/>
        <v>289.13492340520162</v>
      </c>
      <c r="BC49" s="137">
        <f t="shared" si="19"/>
        <v>1.4142882464232294</v>
      </c>
      <c r="BD49" s="138">
        <f t="shared" si="26"/>
        <v>6.1803103599683225E-2</v>
      </c>
      <c r="BE49" s="138">
        <f t="shared" si="8"/>
        <v>1.8753446347900757</v>
      </c>
      <c r="BF49" s="138">
        <f t="shared" si="21"/>
        <v>0.05</v>
      </c>
      <c r="BG49" s="137">
        <f t="shared" si="57"/>
        <v>0.7024999999999999</v>
      </c>
      <c r="BH49" s="141">
        <f t="shared" si="33"/>
        <v>1.5676100265856519E-2</v>
      </c>
      <c r="BI49" s="137">
        <f t="shared" si="58"/>
        <v>0.7024999999999999</v>
      </c>
      <c r="BJ49" s="141">
        <f t="shared" si="33"/>
        <v>8.6837188612099658E-2</v>
      </c>
    </row>
    <row r="50" spans="10:62" ht="16.5" customHeight="1">
      <c r="J50" s="54"/>
      <c r="AL50" s="111"/>
      <c r="AM50" s="137">
        <f t="shared" si="53"/>
        <v>1.390134867989316</v>
      </c>
      <c r="AN50" s="138">
        <f t="shared" si="49"/>
        <v>1</v>
      </c>
      <c r="AO50" s="141">
        <f t="shared" si="22"/>
        <v>6.9512249089099976E-2</v>
      </c>
      <c r="AP50" s="139">
        <f t="shared" si="15"/>
        <v>33.379857967897479</v>
      </c>
      <c r="AQ50" s="137">
        <f t="shared" si="54"/>
        <v>1.4509819431072846</v>
      </c>
      <c r="AR50" s="138">
        <f t="shared" si="50"/>
        <v>1</v>
      </c>
      <c r="AS50" s="141">
        <f t="shared" si="23"/>
        <v>9.0360259232095411E-2</v>
      </c>
      <c r="AT50" s="139">
        <f t="shared" si="16"/>
        <v>47.272737730085829</v>
      </c>
      <c r="AU50" s="137">
        <f t="shared" si="55"/>
        <v>1.9271057323050704</v>
      </c>
      <c r="AV50" s="138">
        <f t="shared" si="51"/>
        <v>1</v>
      </c>
      <c r="AW50" s="141">
        <f t="shared" si="24"/>
        <v>0.22160617519159823</v>
      </c>
      <c r="AX50" s="139">
        <f t="shared" si="17"/>
        <v>204.50419223876639</v>
      </c>
      <c r="AY50" s="137">
        <f t="shared" si="56"/>
        <v>2.1746972736264385</v>
      </c>
      <c r="AZ50" s="138">
        <f t="shared" si="52"/>
        <v>1</v>
      </c>
      <c r="BA50" s="141">
        <f t="shared" si="25"/>
        <v>0.25302582288511982</v>
      </c>
      <c r="BB50" s="139">
        <f t="shared" si="18"/>
        <v>297.35259751009102</v>
      </c>
      <c r="BC50" s="137">
        <f t="shared" si="19"/>
        <v>1.4509819431072846</v>
      </c>
      <c r="BD50" s="138">
        <f t="shared" si="26"/>
        <v>6.0240172821396938E-2</v>
      </c>
      <c r="BE50" s="138">
        <f t="shared" si="8"/>
        <v>1.9271057323050704</v>
      </c>
      <c r="BF50" s="138">
        <f t="shared" si="21"/>
        <v>0.05</v>
      </c>
      <c r="BG50" s="137">
        <f t="shared" si="57"/>
        <v>0.72374999999999989</v>
      </c>
      <c r="BH50" s="141">
        <f t="shared" si="33"/>
        <v>1.521583480036505E-2</v>
      </c>
      <c r="BI50" s="137">
        <f t="shared" si="58"/>
        <v>0.72374999999999989</v>
      </c>
      <c r="BJ50" s="141">
        <f t="shared" si="33"/>
        <v>8.4287564766839393E-2</v>
      </c>
    </row>
    <row r="51" spans="10:62" ht="16.5" customHeight="1">
      <c r="J51" s="54"/>
      <c r="AL51" s="111"/>
      <c r="AM51" s="137">
        <f t="shared" si="53"/>
        <v>1.4250475704516763</v>
      </c>
      <c r="AN51" s="138">
        <f t="shared" si="49"/>
        <v>1</v>
      </c>
      <c r="AO51" s="141">
        <f t="shared" si="22"/>
        <v>6.7809245961163667E-2</v>
      </c>
      <c r="AP51" s="139">
        <f t="shared" si="15"/>
        <v>34.218180260434927</v>
      </c>
      <c r="AQ51" s="137">
        <f t="shared" si="54"/>
        <v>1.4876756397913398</v>
      </c>
      <c r="AR51" s="138">
        <f t="shared" si="50"/>
        <v>1</v>
      </c>
      <c r="AS51" s="141">
        <f t="shared" si="23"/>
        <v>8.813151268555644E-2</v>
      </c>
      <c r="AT51" s="139">
        <f t="shared" si="16"/>
        <v>48.468211945276956</v>
      </c>
      <c r="AU51" s="137">
        <f t="shared" si="55"/>
        <v>1.9788668298200651</v>
      </c>
      <c r="AV51" s="138">
        <f t="shared" si="51"/>
        <v>1</v>
      </c>
      <c r="AW51" s="141">
        <f t="shared" si="24"/>
        <v>0.21580963614654267</v>
      </c>
      <c r="AX51" s="139">
        <f t="shared" si="17"/>
        <v>209.99707270673869</v>
      </c>
      <c r="AY51" s="137">
        <f t="shared" si="56"/>
        <v>2.234797483347482</v>
      </c>
      <c r="AZ51" s="138">
        <f t="shared" si="52"/>
        <v>1</v>
      </c>
      <c r="BA51" s="141">
        <f t="shared" si="25"/>
        <v>0.24622122196107679</v>
      </c>
      <c r="BB51" s="139">
        <f t="shared" si="18"/>
        <v>305.57027161498036</v>
      </c>
      <c r="BC51" s="137">
        <f t="shared" si="19"/>
        <v>1.4876756397913398</v>
      </c>
      <c r="BD51" s="138">
        <f t="shared" si="26"/>
        <v>5.8754341790370958E-2</v>
      </c>
      <c r="BE51" s="138">
        <f t="shared" si="8"/>
        <v>1.9788668298200651</v>
      </c>
      <c r="BF51" s="138">
        <f t="shared" si="21"/>
        <v>0.05</v>
      </c>
      <c r="BG51" s="137">
        <f t="shared" si="57"/>
        <v>0.74499999999999988</v>
      </c>
      <c r="BH51" s="141">
        <f t="shared" si="33"/>
        <v>1.4781826089616382E-2</v>
      </c>
      <c r="BI51" s="137">
        <f t="shared" si="58"/>
        <v>0.74499999999999988</v>
      </c>
      <c r="BJ51" s="141">
        <f t="shared" si="33"/>
        <v>8.1883389261744988E-2</v>
      </c>
    </row>
    <row r="52" spans="10:62" ht="16.5" customHeight="1">
      <c r="J52" s="54"/>
      <c r="AL52" s="111"/>
      <c r="AM52" s="137">
        <f t="shared" si="53"/>
        <v>1.4599602729140366</v>
      </c>
      <c r="AN52" s="138">
        <f t="shared" si="49"/>
        <v>1</v>
      </c>
      <c r="AO52" s="141">
        <f t="shared" si="22"/>
        <v>6.6187692229626963E-2</v>
      </c>
      <c r="AP52" s="139">
        <f t="shared" si="15"/>
        <v>35.056502552972383</v>
      </c>
      <c r="AQ52" s="137">
        <f t="shared" si="54"/>
        <v>1.524369336475395</v>
      </c>
      <c r="AR52" s="138">
        <f t="shared" si="50"/>
        <v>1</v>
      </c>
      <c r="AS52" s="141">
        <f t="shared" si="23"/>
        <v>8.6010064216730617E-2</v>
      </c>
      <c r="AT52" s="139">
        <f t="shared" si="16"/>
        <v>49.663686160468075</v>
      </c>
      <c r="AU52" s="137">
        <f t="shared" si="55"/>
        <v>2.0306279273350598</v>
      </c>
      <c r="AV52" s="138">
        <f t="shared" si="51"/>
        <v>1</v>
      </c>
      <c r="AW52" s="141">
        <f t="shared" si="24"/>
        <v>0.2103086068979611</v>
      </c>
      <c r="AX52" s="139">
        <f t="shared" si="17"/>
        <v>215.48995317471099</v>
      </c>
      <c r="AY52" s="137">
        <f t="shared" si="56"/>
        <v>2.2948976930685254</v>
      </c>
      <c r="AZ52" s="138">
        <f t="shared" si="52"/>
        <v>1</v>
      </c>
      <c r="BA52" s="141">
        <f t="shared" si="25"/>
        <v>0.23977302728890129</v>
      </c>
      <c r="BB52" s="139">
        <f t="shared" si="18"/>
        <v>313.7879457198697</v>
      </c>
      <c r="BC52" s="137">
        <f t="shared" si="19"/>
        <v>1.524369336475395</v>
      </c>
      <c r="BD52" s="138">
        <f t="shared" si="26"/>
        <v>5.7340042811153742E-2</v>
      </c>
      <c r="BE52" s="138">
        <f t="shared" si="8"/>
        <v>2.0306279273350598</v>
      </c>
      <c r="BF52" s="138">
        <f t="shared" si="21"/>
        <v>0.05</v>
      </c>
      <c r="BG52" s="137">
        <f t="shared" si="57"/>
        <v>0.76624999999999988</v>
      </c>
      <c r="BH52" s="141">
        <f t="shared" si="33"/>
        <v>1.4371889640149044E-2</v>
      </c>
      <c r="BI52" s="137">
        <f t="shared" si="58"/>
        <v>0.76624999999999988</v>
      </c>
      <c r="BJ52" s="141">
        <f t="shared" si="33"/>
        <v>7.9612561174551413E-2</v>
      </c>
    </row>
    <row r="53" spans="10:62" ht="16.5" customHeight="1">
      <c r="J53" s="54"/>
      <c r="AL53" s="111"/>
      <c r="AM53" s="137">
        <f t="shared" si="53"/>
        <v>1.494872975376397</v>
      </c>
      <c r="AN53" s="138">
        <f t="shared" si="49"/>
        <v>1</v>
      </c>
      <c r="AO53" s="141">
        <f t="shared" si="22"/>
        <v>6.4641881151664693E-2</v>
      </c>
      <c r="AP53" s="139">
        <f t="shared" si="15"/>
        <v>35.894824845509838</v>
      </c>
      <c r="AQ53" s="137">
        <f t="shared" si="54"/>
        <v>1.5610630331594502</v>
      </c>
      <c r="AR53" s="138">
        <f t="shared" si="50"/>
        <v>1</v>
      </c>
      <c r="AS53" s="141">
        <f t="shared" si="23"/>
        <v>8.3988347514005732E-2</v>
      </c>
      <c r="AT53" s="139">
        <f t="shared" si="16"/>
        <v>50.859160375659179</v>
      </c>
      <c r="AU53" s="137">
        <f t="shared" si="55"/>
        <v>2.0823890248500545</v>
      </c>
      <c r="AV53" s="138">
        <f t="shared" si="51"/>
        <v>1</v>
      </c>
      <c r="AW53" s="141">
        <f t="shared" si="24"/>
        <v>0.20508105134518831</v>
      </c>
      <c r="AX53" s="139">
        <f t="shared" si="17"/>
        <v>220.98283364268332</v>
      </c>
      <c r="AY53" s="137">
        <f t="shared" si="56"/>
        <v>2.3549979027895689</v>
      </c>
      <c r="AZ53" s="138">
        <f t="shared" si="52"/>
        <v>1</v>
      </c>
      <c r="BA53" s="141">
        <f t="shared" si="25"/>
        <v>0.23365395210482454</v>
      </c>
      <c r="BB53" s="139">
        <f t="shared" si="18"/>
        <v>322.00561982475909</v>
      </c>
      <c r="BC53" s="137">
        <f t="shared" si="19"/>
        <v>1.5610630331594502</v>
      </c>
      <c r="BD53" s="138">
        <f t="shared" si="26"/>
        <v>5.5992231676003819E-2</v>
      </c>
      <c r="BE53" s="138">
        <f t="shared" si="8"/>
        <v>2.0823890248500545</v>
      </c>
      <c r="BF53" s="138">
        <f t="shared" si="21"/>
        <v>0.05</v>
      </c>
      <c r="BG53" s="137">
        <f t="shared" si="57"/>
        <v>0.78749999999999987</v>
      </c>
      <c r="BH53" s="141">
        <f t="shared" si="33"/>
        <v>1.3984076745097404E-2</v>
      </c>
      <c r="BI53" s="137">
        <f t="shared" si="58"/>
        <v>0.78749999999999987</v>
      </c>
      <c r="BJ53" s="141">
        <f t="shared" si="33"/>
        <v>7.7464285714285736E-2</v>
      </c>
    </row>
    <row r="54" spans="10:62" ht="16.5" customHeight="1">
      <c r="AL54" s="111"/>
      <c r="AM54" s="137">
        <f t="shared" si="53"/>
        <v>1.5297856778387573</v>
      </c>
      <c r="AN54" s="138">
        <f t="shared" si="49"/>
        <v>1</v>
      </c>
      <c r="AO54" s="141">
        <f t="shared" si="22"/>
        <v>6.3166626940601808E-2</v>
      </c>
      <c r="AP54" s="139">
        <f t="shared" si="15"/>
        <v>36.733147138047293</v>
      </c>
      <c r="AQ54" s="137">
        <f t="shared" si="54"/>
        <v>1.5977567298435054</v>
      </c>
      <c r="AR54" s="138">
        <f t="shared" si="50"/>
        <v>1</v>
      </c>
      <c r="AS54" s="141">
        <f t="shared" si="23"/>
        <v>8.2059491330138609E-2</v>
      </c>
      <c r="AT54" s="139">
        <f t="shared" si="16"/>
        <v>52.054634590850306</v>
      </c>
      <c r="AU54" s="137">
        <f t="shared" si="55"/>
        <v>2.1341501223650492</v>
      </c>
      <c r="AV54" s="138">
        <f t="shared" si="51"/>
        <v>1</v>
      </c>
      <c r="AW54" s="141">
        <f t="shared" si="24"/>
        <v>0.20010707121796453</v>
      </c>
      <c r="AX54" s="139">
        <f t="shared" si="17"/>
        <v>226.47571411065562</v>
      </c>
      <c r="AY54" s="137">
        <f t="shared" si="56"/>
        <v>2.4150981125106123</v>
      </c>
      <c r="AZ54" s="138">
        <f t="shared" si="52"/>
        <v>1</v>
      </c>
      <c r="BA54" s="141">
        <f t="shared" si="25"/>
        <v>0.22783942579183239</v>
      </c>
      <c r="BB54" s="139">
        <f t="shared" si="18"/>
        <v>330.22329392964843</v>
      </c>
      <c r="BC54" s="137">
        <f t="shared" si="19"/>
        <v>1.5977567298435054</v>
      </c>
      <c r="BD54" s="138">
        <f t="shared" si="26"/>
        <v>5.4706327553425742E-2</v>
      </c>
      <c r="BE54" s="138">
        <f t="shared" si="8"/>
        <v>2.1341501223650492</v>
      </c>
      <c r="BF54" s="138">
        <f t="shared" si="21"/>
        <v>0.05</v>
      </c>
      <c r="BG54" s="137">
        <f t="shared" si="57"/>
        <v>0.80874999999999986</v>
      </c>
      <c r="BH54" s="141">
        <f t="shared" si="33"/>
        <v>1.3616643507590979E-2</v>
      </c>
      <c r="BI54" s="137">
        <f t="shared" si="58"/>
        <v>0.80874999999999986</v>
      </c>
      <c r="BJ54" s="141">
        <f t="shared" si="33"/>
        <v>7.5428902627511618E-2</v>
      </c>
    </row>
    <row r="55" spans="10:62" ht="16.5" customHeight="1">
      <c r="AL55" s="111"/>
      <c r="AM55" s="137">
        <f t="shared" si="53"/>
        <v>1.5646983803011176</v>
      </c>
      <c r="AN55" s="138">
        <f t="shared" si="49"/>
        <v>1</v>
      </c>
      <c r="AO55" s="141">
        <f t="shared" si="22"/>
        <v>6.1757206646127064E-2</v>
      </c>
      <c r="AP55" s="139">
        <f t="shared" si="15"/>
        <v>37.571469430584742</v>
      </c>
      <c r="AQ55" s="137">
        <f t="shared" si="54"/>
        <v>1.6344504265275606</v>
      </c>
      <c r="AR55" s="138">
        <f t="shared" si="50"/>
        <v>1</v>
      </c>
      <c r="AS55" s="141">
        <f t="shared" si="23"/>
        <v>8.0217241460674507E-2</v>
      </c>
      <c r="AT55" s="139">
        <f t="shared" si="16"/>
        <v>53.250108806041425</v>
      </c>
      <c r="AU55" s="137">
        <f t="shared" si="55"/>
        <v>2.1859112198800439</v>
      </c>
      <c r="AV55" s="138">
        <f t="shared" si="51"/>
        <v>1</v>
      </c>
      <c r="AW55" s="141">
        <f t="shared" si="24"/>
        <v>0.19536865296357567</v>
      </c>
      <c r="AX55" s="139">
        <f t="shared" si="17"/>
        <v>231.96859457862794</v>
      </c>
      <c r="AY55" s="137">
        <f t="shared" si="56"/>
        <v>2.4751983222316558</v>
      </c>
      <c r="AZ55" s="138">
        <f t="shared" si="52"/>
        <v>1</v>
      </c>
      <c r="BA55" s="141">
        <f t="shared" si="25"/>
        <v>0.22230726412631163</v>
      </c>
      <c r="BB55" s="139">
        <f t="shared" si="18"/>
        <v>338.44096803453783</v>
      </c>
      <c r="BC55" s="137">
        <f t="shared" si="19"/>
        <v>1.6344504265275606</v>
      </c>
      <c r="BD55" s="138">
        <f t="shared" si="26"/>
        <v>5.3478160973783002E-2</v>
      </c>
      <c r="BE55" s="138">
        <f t="shared" si="8"/>
        <v>2.1859112198800439</v>
      </c>
      <c r="BF55" s="138">
        <f t="shared" si="21"/>
        <v>0.05</v>
      </c>
      <c r="BG55" s="137">
        <f t="shared" si="57"/>
        <v>0.82999999999999985</v>
      </c>
      <c r="BH55" s="141">
        <f t="shared" si="33"/>
        <v>1.3268024622607476E-2</v>
      </c>
      <c r="BI55" s="137">
        <f t="shared" si="58"/>
        <v>0.82999999999999985</v>
      </c>
      <c r="BJ55" s="141">
        <f t="shared" si="33"/>
        <v>7.3497740963855446E-2</v>
      </c>
    </row>
    <row r="56" spans="10:62" ht="16.5" customHeight="1">
      <c r="AL56" s="111"/>
      <c r="AM56" s="137">
        <f t="shared" si="53"/>
        <v>1.599611082763478</v>
      </c>
      <c r="AN56" s="138">
        <f t="shared" si="49"/>
        <v>1</v>
      </c>
      <c r="AO56" s="141">
        <f t="shared" si="22"/>
        <v>6.0409309645552495E-2</v>
      </c>
      <c r="AP56" s="139">
        <f t="shared" si="15"/>
        <v>38.409791723122197</v>
      </c>
      <c r="AQ56" s="137">
        <f t="shared" si="54"/>
        <v>1.6711441232116158</v>
      </c>
      <c r="AR56" s="138">
        <f t="shared" si="50"/>
        <v>1</v>
      </c>
      <c r="AS56" s="141">
        <f t="shared" si="23"/>
        <v>7.8455893001193447E-2</v>
      </c>
      <c r="AT56" s="139">
        <f t="shared" si="16"/>
        <v>54.445583021232537</v>
      </c>
      <c r="AU56" s="137">
        <f t="shared" si="55"/>
        <v>2.2376723173950386</v>
      </c>
      <c r="AV56" s="138">
        <f t="shared" si="51"/>
        <v>1</v>
      </c>
      <c r="AW56" s="141">
        <f t="shared" si="24"/>
        <v>0.19084944976353199</v>
      </c>
      <c r="AX56" s="139">
        <f t="shared" si="17"/>
        <v>237.46147504660027</v>
      </c>
      <c r="AY56" s="137">
        <f t="shared" si="56"/>
        <v>2.5352985319526993</v>
      </c>
      <c r="AZ56" s="138">
        <f t="shared" si="52"/>
        <v>1</v>
      </c>
      <c r="BA56" s="141">
        <f t="shared" si="25"/>
        <v>0.21703738642626333</v>
      </c>
      <c r="BB56" s="139">
        <f t="shared" si="18"/>
        <v>346.65864213942717</v>
      </c>
      <c r="BC56" s="137">
        <f t="shared" si="19"/>
        <v>1.6711441232116158</v>
      </c>
      <c r="BD56" s="138">
        <f t="shared" si="26"/>
        <v>5.23039286674623E-2</v>
      </c>
      <c r="BE56" s="138">
        <f t="shared" si="8"/>
        <v>2.2376723173950386</v>
      </c>
      <c r="BF56" s="138">
        <f t="shared" si="21"/>
        <v>0.05</v>
      </c>
      <c r="BG56" s="137">
        <f t="shared" si="57"/>
        <v>0.85124999999999984</v>
      </c>
      <c r="BH56" s="141">
        <f t="shared" si="33"/>
        <v>1.2936811085772928E-2</v>
      </c>
      <c r="BI56" s="137">
        <f t="shared" si="58"/>
        <v>0.85124999999999984</v>
      </c>
      <c r="BJ56" s="141">
        <f t="shared" si="33"/>
        <v>7.1662995594713674E-2</v>
      </c>
    </row>
    <row r="57" spans="10:62" ht="16.5" customHeight="1">
      <c r="AL57" s="111"/>
      <c r="AM57" s="137">
        <f t="shared" si="53"/>
        <v>1.6345237852258383</v>
      </c>
      <c r="AN57" s="138">
        <f t="shared" si="49"/>
        <v>1</v>
      </c>
      <c r="AO57" s="141">
        <f t="shared" si="22"/>
        <v>5.9118993608138347E-2</v>
      </c>
      <c r="AP57" s="139">
        <f t="shared" si="15"/>
        <v>39.248114015659652</v>
      </c>
      <c r="AQ57" s="137">
        <f t="shared" si="54"/>
        <v>1.707837819895671</v>
      </c>
      <c r="AR57" s="138">
        <f t="shared" si="50"/>
        <v>1</v>
      </c>
      <c r="AS57" s="141">
        <f t="shared" si="23"/>
        <v>7.6770231337465702E-2</v>
      </c>
      <c r="AT57" s="139">
        <f t="shared" si="16"/>
        <v>55.641057236423649</v>
      </c>
      <c r="AU57" s="137">
        <f t="shared" si="55"/>
        <v>2.2894334149100333</v>
      </c>
      <c r="AV57" s="138">
        <f t="shared" si="51"/>
        <v>1</v>
      </c>
      <c r="AW57" s="141">
        <f t="shared" si="24"/>
        <v>0.18653459312015525</v>
      </c>
      <c r="AX57" s="139">
        <f t="shared" si="17"/>
        <v>242.9543555145726</v>
      </c>
      <c r="AY57" s="137">
        <f t="shared" si="56"/>
        <v>2.5953987416737427</v>
      </c>
      <c r="AZ57" s="138">
        <f t="shared" si="52"/>
        <v>1</v>
      </c>
      <c r="BA57" s="141">
        <f t="shared" si="25"/>
        <v>0.21201157199856824</v>
      </c>
      <c r="BB57" s="139">
        <f t="shared" si="18"/>
        <v>354.87631624431663</v>
      </c>
      <c r="BC57" s="137">
        <f t="shared" si="19"/>
        <v>1.707837819895671</v>
      </c>
      <c r="BD57" s="138">
        <f t="shared" si="26"/>
        <v>5.1180154224977133E-2</v>
      </c>
      <c r="BE57" s="138">
        <f t="shared" si="8"/>
        <v>2.2894334149100333</v>
      </c>
      <c r="BF57" s="138">
        <f t="shared" si="21"/>
        <v>0.05</v>
      </c>
      <c r="BG57" s="137">
        <f t="shared" si="57"/>
        <v>0.87249999999999983</v>
      </c>
      <c r="BH57" s="141">
        <f t="shared" si="33"/>
        <v>1.2621731159615134E-2</v>
      </c>
      <c r="BI57" s="137">
        <f t="shared" si="58"/>
        <v>0.87249999999999983</v>
      </c>
      <c r="BJ57" s="141">
        <f t="shared" si="33"/>
        <v>6.9917621776504318E-2</v>
      </c>
    </row>
    <row r="58" spans="10:62" ht="16.5" customHeight="1">
      <c r="AL58" s="111"/>
      <c r="AM58" s="137">
        <f t="shared" si="53"/>
        <v>1.6694364876881986</v>
      </c>
      <c r="AN58" s="138">
        <f t="shared" si="49"/>
        <v>1</v>
      </c>
      <c r="AO58" s="141">
        <f t="shared" si="22"/>
        <v>5.7882645984891352E-2</v>
      </c>
      <c r="AP58" s="139">
        <f t="shared" si="15"/>
        <v>40.086436308197094</v>
      </c>
      <c r="AQ58" s="137">
        <f t="shared" si="54"/>
        <v>1.7445315165797262</v>
      </c>
      <c r="AR58" s="138">
        <f t="shared" si="50"/>
        <v>1</v>
      </c>
      <c r="AS58" s="141">
        <f t="shared" si="23"/>
        <v>7.5155480582727488E-2</v>
      </c>
      <c r="AT58" s="139">
        <f t="shared" si="16"/>
        <v>56.836531451614761</v>
      </c>
      <c r="AU58" s="137">
        <f t="shared" si="55"/>
        <v>2.341194512425028</v>
      </c>
      <c r="AV58" s="138">
        <f t="shared" si="51"/>
        <v>1</v>
      </c>
      <c r="AW58" s="141">
        <f t="shared" si="24"/>
        <v>0.18241052943677882</v>
      </c>
      <c r="AX58" s="139">
        <f t="shared" si="17"/>
        <v>248.44723598254487</v>
      </c>
      <c r="AY58" s="137">
        <f t="shared" si="56"/>
        <v>2.6554989513947862</v>
      </c>
      <c r="AZ58" s="138">
        <f t="shared" si="52"/>
        <v>1</v>
      </c>
      <c r="BA58" s="141">
        <f t="shared" si="25"/>
        <v>0.20721324965929208</v>
      </c>
      <c r="BB58" s="139">
        <f t="shared" si="18"/>
        <v>363.09399034920591</v>
      </c>
      <c r="BC58" s="137">
        <f t="shared" si="19"/>
        <v>1.7445315165797262</v>
      </c>
      <c r="BD58" s="138">
        <f t="shared" si="26"/>
        <v>5.0103653721818325E-2</v>
      </c>
      <c r="BE58" s="138">
        <f t="shared" si="8"/>
        <v>2.341194512425028</v>
      </c>
      <c r="BF58" s="138">
        <f t="shared" si="21"/>
        <v>0.05</v>
      </c>
      <c r="BG58" s="137">
        <f t="shared" si="57"/>
        <v>0.89374999999999982</v>
      </c>
      <c r="BH58" s="141">
        <f t="shared" si="33"/>
        <v>1.232163405512079E-2</v>
      </c>
      <c r="BI58" s="137">
        <f t="shared" si="58"/>
        <v>0.89374999999999982</v>
      </c>
      <c r="BJ58" s="141">
        <f t="shared" si="33"/>
        <v>6.8255244755244776E-2</v>
      </c>
    </row>
    <row r="59" spans="10:62" ht="16.5" customHeight="1">
      <c r="AL59" s="111"/>
      <c r="AM59" s="137">
        <f t="shared" si="53"/>
        <v>1.704349190150559</v>
      </c>
      <c r="AN59" s="138">
        <f t="shared" si="49"/>
        <v>1</v>
      </c>
      <c r="AO59" s="141">
        <f t="shared" si="22"/>
        <v>5.6696950231531019E-2</v>
      </c>
      <c r="AP59" s="139">
        <f t="shared" si="15"/>
        <v>40.924758600734556</v>
      </c>
      <c r="AQ59" s="137">
        <f t="shared" si="54"/>
        <v>1.7812252132637814</v>
      </c>
      <c r="AR59" s="138">
        <f t="shared" si="50"/>
        <v>1</v>
      </c>
      <c r="AS59" s="141">
        <f t="shared" si="23"/>
        <v>7.360725838818874E-2</v>
      </c>
      <c r="AT59" s="139">
        <f t="shared" si="16"/>
        <v>58.03200566680588</v>
      </c>
      <c r="AU59" s="137">
        <f t="shared" si="55"/>
        <v>2.3929556099400227</v>
      </c>
      <c r="AV59" s="138">
        <f t="shared" si="51"/>
        <v>1</v>
      </c>
      <c r="AW59" s="141">
        <f t="shared" si="24"/>
        <v>0.17846487780717105</v>
      </c>
      <c r="AX59" s="139">
        <f t="shared" si="17"/>
        <v>253.94011645051719</v>
      </c>
      <c r="AY59" s="137">
        <f t="shared" si="56"/>
        <v>2.7155991611158297</v>
      </c>
      <c r="AZ59" s="138">
        <f t="shared" si="52"/>
        <v>1</v>
      </c>
      <c r="BA59" s="141">
        <f t="shared" si="25"/>
        <v>0.20262731520334487</v>
      </c>
      <c r="BB59" s="139">
        <f t="shared" si="18"/>
        <v>371.31166445409531</v>
      </c>
      <c r="BC59" s="137">
        <f t="shared" si="19"/>
        <v>1.7812252132637814</v>
      </c>
      <c r="BD59" s="138">
        <f t="shared" si="26"/>
        <v>4.9071505592125829E-2</v>
      </c>
      <c r="BE59" s="138">
        <f t="shared" si="8"/>
        <v>2.3929556099400227</v>
      </c>
      <c r="BF59" s="138">
        <f t="shared" si="21"/>
        <v>0.05</v>
      </c>
      <c r="BG59" s="137">
        <f t="shared" si="57"/>
        <v>0.91499999999999981</v>
      </c>
      <c r="BH59" s="141">
        <f t="shared" si="33"/>
        <v>1.2035475887173994E-2</v>
      </c>
      <c r="BI59" s="137">
        <f t="shared" si="58"/>
        <v>0.91499999999999981</v>
      </c>
      <c r="BJ59" s="141">
        <f t="shared" si="33"/>
        <v>6.6670081967213135E-2</v>
      </c>
    </row>
    <row r="60" spans="10:62" ht="16.5" customHeight="1">
      <c r="AL60" s="111"/>
      <c r="AM60" s="137">
        <f t="shared" si="53"/>
        <v>1.7392618926129193</v>
      </c>
      <c r="AN60" s="138">
        <f t="shared" si="49"/>
        <v>1</v>
      </c>
      <c r="AO60" s="141">
        <f t="shared" si="22"/>
        <v>5.5558856099552453E-2</v>
      </c>
      <c r="AP60" s="139">
        <f t="shared" si="15"/>
        <v>41.763080893271997</v>
      </c>
      <c r="AQ60" s="137">
        <f t="shared" si="54"/>
        <v>1.8179189099478366</v>
      </c>
      <c r="AR60" s="138">
        <f t="shared" si="50"/>
        <v>1</v>
      </c>
      <c r="AS60" s="141">
        <f t="shared" si="23"/>
        <v>7.2121536226291777E-2</v>
      </c>
      <c r="AT60" s="139">
        <f t="shared" si="16"/>
        <v>59.227479881996999</v>
      </c>
      <c r="AU60" s="137">
        <f t="shared" si="55"/>
        <v>2.4447167074550173</v>
      </c>
      <c r="AV60" s="138">
        <f t="shared" si="51"/>
        <v>1</v>
      </c>
      <c r="AW60" s="141">
        <f t="shared" si="24"/>
        <v>0.17468630587079526</v>
      </c>
      <c r="AX60" s="139">
        <f t="shared" si="17"/>
        <v>259.43299691848949</v>
      </c>
      <c r="AY60" s="137">
        <f t="shared" si="56"/>
        <v>2.7756993708368731</v>
      </c>
      <c r="AZ60" s="138">
        <f t="shared" si="52"/>
        <v>1</v>
      </c>
      <c r="BA60" s="141">
        <f t="shared" si="25"/>
        <v>0.1982399725873247</v>
      </c>
      <c r="BB60" s="139">
        <f t="shared" si="18"/>
        <v>379.5293385589847</v>
      </c>
      <c r="BC60" s="137">
        <f t="shared" si="19"/>
        <v>1.8179189099478366</v>
      </c>
      <c r="BD60" s="138">
        <f t="shared" si="26"/>
        <v>4.8081024150861185E-2</v>
      </c>
      <c r="BE60" s="138">
        <f t="shared" si="8"/>
        <v>2.4447167074550173</v>
      </c>
      <c r="BF60" s="138">
        <f t="shared" si="21"/>
        <v>0.05</v>
      </c>
      <c r="BG60" s="137">
        <f t="shared" si="57"/>
        <v>0.9362499999999998</v>
      </c>
      <c r="BH60" s="141">
        <f t="shared" si="33"/>
        <v>1.1762307542605292E-2</v>
      </c>
      <c r="BI60" s="137">
        <f t="shared" si="58"/>
        <v>0.9362499999999998</v>
      </c>
      <c r="BJ60" s="141">
        <f t="shared" si="33"/>
        <v>6.5156875834445946E-2</v>
      </c>
    </row>
    <row r="61" spans="10:62" ht="16.5" customHeight="1">
      <c r="AL61" s="111"/>
      <c r="AM61" s="137">
        <f t="shared" si="53"/>
        <v>1.7741745950752796</v>
      </c>
      <c r="AN61" s="138">
        <f t="shared" si="49"/>
        <v>1</v>
      </c>
      <c r="AO61" s="141">
        <f t="shared" si="22"/>
        <v>5.4465553435013699E-2</v>
      </c>
      <c r="AP61" s="139">
        <f t="shared" si="15"/>
        <v>42.601403185809467</v>
      </c>
      <c r="AQ61" s="137">
        <f t="shared" si="54"/>
        <v>1.8546126066318918</v>
      </c>
      <c r="AR61" s="138">
        <f t="shared" si="50"/>
        <v>1</v>
      </c>
      <c r="AS61" s="141">
        <f t="shared" si="23"/>
        <v>7.0694604388768192E-2</v>
      </c>
      <c r="AT61" s="139">
        <f t="shared" si="16"/>
        <v>60.422954097188111</v>
      </c>
      <c r="AU61" s="137">
        <f t="shared" si="55"/>
        <v>2.496477804970012</v>
      </c>
      <c r="AV61" s="138">
        <f t="shared" si="51"/>
        <v>1</v>
      </c>
      <c r="AW61" s="141">
        <f t="shared" si="24"/>
        <v>0.1710644211119115</v>
      </c>
      <c r="AX61" s="139">
        <f t="shared" si="17"/>
        <v>264.92587738646188</v>
      </c>
      <c r="AY61" s="137">
        <f t="shared" si="56"/>
        <v>2.8357995805579166</v>
      </c>
      <c r="AZ61" s="138">
        <f t="shared" si="52"/>
        <v>1</v>
      </c>
      <c r="BA61" s="141">
        <f t="shared" si="25"/>
        <v>0.19403859530760589</v>
      </c>
      <c r="BB61" s="139">
        <f t="shared" si="18"/>
        <v>387.74701266387405</v>
      </c>
      <c r="BC61" s="137">
        <f t="shared" si="19"/>
        <v>1.8546126066318918</v>
      </c>
      <c r="BD61" s="138">
        <f t="shared" si="26"/>
        <v>4.7129736259178795E-2</v>
      </c>
      <c r="BE61" s="138">
        <f t="shared" si="8"/>
        <v>2.496477804970012</v>
      </c>
      <c r="BF61" s="138">
        <f t="shared" si="21"/>
        <v>0.05</v>
      </c>
      <c r="BG61" s="137">
        <f t="shared" si="57"/>
        <v>0.9574999999999998</v>
      </c>
      <c r="BH61" s="141">
        <f t="shared" si="33"/>
        <v>1.1501264163722408E-2</v>
      </c>
      <c r="BI61" s="137">
        <f t="shared" si="58"/>
        <v>0.9574999999999998</v>
      </c>
      <c r="BJ61" s="141">
        <f t="shared" si="33"/>
        <v>6.3710835509138405E-2</v>
      </c>
    </row>
    <row r="62" spans="10:62" ht="16.5" customHeight="1">
      <c r="AL62" s="111"/>
      <c r="AM62" s="137">
        <f t="shared" si="53"/>
        <v>1.80908729753764</v>
      </c>
      <c r="AN62" s="138">
        <f t="shared" si="49"/>
        <v>1</v>
      </c>
      <c r="AO62" s="141">
        <f t="shared" si="22"/>
        <v>5.3414449011190364E-2</v>
      </c>
      <c r="AP62" s="139">
        <f t="shared" si="15"/>
        <v>43.439725478346915</v>
      </c>
      <c r="AQ62" s="137">
        <f t="shared" si="54"/>
        <v>1.891306303315947</v>
      </c>
      <c r="AR62" s="138">
        <f t="shared" si="50"/>
        <v>1</v>
      </c>
      <c r="AS62" s="141">
        <f t="shared" si="23"/>
        <v>6.9323041059183396E-2</v>
      </c>
      <c r="AT62" s="139">
        <f t="shared" si="16"/>
        <v>61.618428312379223</v>
      </c>
      <c r="AU62" s="137">
        <f t="shared" si="55"/>
        <v>2.5482389024850067</v>
      </c>
      <c r="AV62" s="138">
        <f t="shared" si="51"/>
        <v>1</v>
      </c>
      <c r="AW62" s="141">
        <f t="shared" si="24"/>
        <v>0.16758967540659911</v>
      </c>
      <c r="AX62" s="139">
        <f t="shared" si="17"/>
        <v>270.41875785443415</v>
      </c>
      <c r="AY62" s="137">
        <f t="shared" si="56"/>
        <v>2.8958997902789601</v>
      </c>
      <c r="AZ62" s="138">
        <f t="shared" si="52"/>
        <v>1</v>
      </c>
      <c r="BA62" s="141">
        <f t="shared" si="25"/>
        <v>0.19001160503981063</v>
      </c>
      <c r="BB62" s="139">
        <f t="shared" si="18"/>
        <v>395.9646867687635</v>
      </c>
      <c r="BC62" s="137">
        <f t="shared" si="19"/>
        <v>1.891306303315947</v>
      </c>
      <c r="BD62" s="138">
        <f t="shared" si="26"/>
        <v>4.6215360706122262E-2</v>
      </c>
      <c r="BE62" s="138">
        <f t="shared" si="8"/>
        <v>2.5482389024850067</v>
      </c>
      <c r="BF62" s="138">
        <f t="shared" si="21"/>
        <v>0.05</v>
      </c>
      <c r="BG62" s="137">
        <f t="shared" si="57"/>
        <v>0.97874999999999979</v>
      </c>
      <c r="BH62" s="141">
        <f t="shared" si="33"/>
        <v>1.1251556001802509E-2</v>
      </c>
      <c r="BI62" s="137">
        <f t="shared" si="58"/>
        <v>0.97874999999999979</v>
      </c>
      <c r="BJ62" s="141">
        <f t="shared" si="33"/>
        <v>6.2327586206896574E-2</v>
      </c>
    </row>
    <row r="63" spans="10:62" ht="16.5" customHeight="1">
      <c r="AL63" s="111" t="s">
        <v>227</v>
      </c>
      <c r="AM63" s="137">
        <f>AO$4</f>
        <v>1.8440000000000001</v>
      </c>
      <c r="AN63" s="138">
        <f t="shared" si="49"/>
        <v>1</v>
      </c>
      <c r="AO63" s="141">
        <f t="shared" si="22"/>
        <v>5.2403145993013246E-2</v>
      </c>
      <c r="AP63" s="139">
        <f t="shared" si="15"/>
        <v>44.278047770884356</v>
      </c>
      <c r="AQ63" s="137">
        <f>AS$4</f>
        <v>1.9280000000000002</v>
      </c>
      <c r="AR63" s="138">
        <f t="shared" si="50"/>
        <v>1</v>
      </c>
      <c r="AS63" s="141">
        <f t="shared" si="23"/>
        <v>6.800368491714924E-2</v>
      </c>
      <c r="AT63" s="139">
        <f t="shared" si="16"/>
        <v>62.813902527570264</v>
      </c>
      <c r="AU63" s="137">
        <f>AW$4</f>
        <v>2.6</v>
      </c>
      <c r="AV63" s="138">
        <f t="shared" si="51"/>
        <v>1</v>
      </c>
      <c r="AW63" s="141">
        <f t="shared" si="24"/>
        <v>0.16425328097151176</v>
      </c>
      <c r="AX63" s="139">
        <f>AW63*9.81*(AU63)^2*$AL$135</f>
        <v>275.9116383224063</v>
      </c>
      <c r="AY63" s="137">
        <f>BA$4</f>
        <v>2.9560000000000004</v>
      </c>
      <c r="AZ63" s="138">
        <f t="shared" si="52"/>
        <v>1</v>
      </c>
      <c r="BA63" s="141">
        <f t="shared" si="25"/>
        <v>0.18614836508300273</v>
      </c>
      <c r="BB63" s="139">
        <f t="shared" si="18"/>
        <v>404.18236087365239</v>
      </c>
      <c r="BC63" s="137">
        <f t="shared" si="19"/>
        <v>1.9280000000000002</v>
      </c>
      <c r="BD63" s="138">
        <f t="shared" si="26"/>
        <v>4.5335789944766162E-2</v>
      </c>
      <c r="BE63" s="138">
        <f t="shared" si="8"/>
        <v>2.6</v>
      </c>
      <c r="BF63" s="138">
        <f t="shared" si="21"/>
        <v>0.05</v>
      </c>
      <c r="BG63" s="137">
        <f>BH$4</f>
        <v>1</v>
      </c>
      <c r="BH63" s="141">
        <f t="shared" si="33"/>
        <v>1.1012460436764203E-2</v>
      </c>
      <c r="BI63" s="137">
        <f>BJ$4</f>
        <v>1</v>
      </c>
      <c r="BJ63" s="141">
        <f t="shared" si="33"/>
        <v>6.1003125000000005E-2</v>
      </c>
    </row>
    <row r="64" spans="10:62" ht="16.5" customHeight="1">
      <c r="AL64" s="111"/>
      <c r="AM64" s="137">
        <f>AM63+(AM$83-AM$63)/20</f>
        <v>1.8729</v>
      </c>
      <c r="AN64" s="138">
        <f t="shared" si="49"/>
        <v>1</v>
      </c>
      <c r="AO64" s="141">
        <f t="shared" ref="AO64:AO127" si="65">AO$7*AM$22*AM$63/AM64^2*AN64</f>
        <v>5.0798397779877276E-2</v>
      </c>
      <c r="AP64" s="139">
        <f t="shared" si="15"/>
        <v>44.278047770884356</v>
      </c>
      <c r="AQ64" s="137">
        <f>AQ63+(AQ$83-AQ$63)/20</f>
        <v>1.9816000000000003</v>
      </c>
      <c r="AR64" s="138">
        <f t="shared" si="50"/>
        <v>1</v>
      </c>
      <c r="AS64" s="141">
        <f t="shared" ref="AS64:AS127" si="66">AS$7*AQ$22*AQ$63/AQ64^2*AR64</f>
        <v>6.4374596284573746E-2</v>
      </c>
      <c r="AT64" s="139">
        <f t="shared" si="16"/>
        <v>62.813902527570278</v>
      </c>
      <c r="AU64" s="137">
        <f>AU63+(AU$83-AU$63)/20</f>
        <v>2.62</v>
      </c>
      <c r="AV64" s="138">
        <f t="shared" si="51"/>
        <v>1</v>
      </c>
      <c r="AW64" s="141">
        <f t="shared" ref="AW64:AW127" si="67">AW$7*AU$22*AU$63/AU64^2*AV64</f>
        <v>0.16175516860430911</v>
      </c>
      <c r="AX64" s="139">
        <f t="shared" si="17"/>
        <v>275.9116383224063</v>
      </c>
      <c r="AY64" s="137">
        <f>AY63+(AY$83-AY$63)/20</f>
        <v>2.9582000000000006</v>
      </c>
      <c r="AZ64" s="138">
        <f t="shared" si="52"/>
        <v>1</v>
      </c>
      <c r="BA64" s="141">
        <f t="shared" ref="BA64:BA127" si="68">BA$7*AY$22*AY$63/AY64^2*AZ64</f>
        <v>0.18587159263914296</v>
      </c>
      <c r="BB64" s="139">
        <f t="shared" si="18"/>
        <v>404.18236087365239</v>
      </c>
      <c r="BC64" s="137">
        <f t="shared" si="19"/>
        <v>1.9816000000000003</v>
      </c>
      <c r="BD64" s="138">
        <f t="shared" si="26"/>
        <v>4.2916397523049161E-2</v>
      </c>
      <c r="BE64" s="138">
        <f t="shared" si="8"/>
        <v>2.62</v>
      </c>
      <c r="BF64" s="138">
        <f t="shared" si="21"/>
        <v>0.05</v>
      </c>
      <c r="BG64" s="137">
        <f>BG63+(BG$83-BG$63)/20</f>
        <v>1.05</v>
      </c>
      <c r="BH64" s="141">
        <f>BH$22*BG$22*$BG$63/BG64^2</f>
        <v>9.9886262464981435E-3</v>
      </c>
      <c r="BI64" s="137">
        <f>BI63+(BI$83-BI$63)/20</f>
        <v>1.05</v>
      </c>
      <c r="BJ64" s="141">
        <f>BJ$22*BI$22*$BG$63/BI64^2</f>
        <v>5.5331632653061229E-2</v>
      </c>
    </row>
    <row r="65" spans="25:62" ht="16.5" customHeight="1">
      <c r="AL65" s="111"/>
      <c r="AM65" s="137">
        <f t="shared" ref="AM65:AM82" si="69">AM64+(AM$83-AM$63)/20</f>
        <v>1.9017999999999999</v>
      </c>
      <c r="AN65" s="138">
        <f t="shared" si="49"/>
        <v>1</v>
      </c>
      <c r="AO65" s="141">
        <f t="shared" si="65"/>
        <v>4.9266250155010516E-2</v>
      </c>
      <c r="AP65" s="139">
        <f t="shared" si="15"/>
        <v>44.278047770884356</v>
      </c>
      <c r="AQ65" s="137">
        <f t="shared" ref="AQ65:AQ82" si="70">AQ64+(AQ$83-AQ$63)/20</f>
        <v>2.0352000000000001</v>
      </c>
      <c r="AR65" s="138">
        <f t="shared" si="50"/>
        <v>1</v>
      </c>
      <c r="AS65" s="141">
        <f t="shared" si="66"/>
        <v>6.1028446876992382E-2</v>
      </c>
      <c r="AT65" s="139">
        <f t="shared" si="16"/>
        <v>62.813902527570285</v>
      </c>
      <c r="AU65" s="137">
        <f t="shared" ref="AU65:AU82" si="71">AU64+(AU$83-AU$63)/20</f>
        <v>2.64</v>
      </c>
      <c r="AV65" s="138">
        <f t="shared" si="51"/>
        <v>1</v>
      </c>
      <c r="AW65" s="141">
        <f t="shared" si="67"/>
        <v>0.15931361618563755</v>
      </c>
      <c r="AX65" s="139">
        <f t="shared" si="17"/>
        <v>275.9116383224063</v>
      </c>
      <c r="AY65" s="137">
        <f t="shared" ref="AY65:AY82" si="72">AY64+(AY$83-AY$63)/20</f>
        <v>2.9604000000000008</v>
      </c>
      <c r="AZ65" s="138">
        <f t="shared" si="52"/>
        <v>1</v>
      </c>
      <c r="BA65" s="141">
        <f t="shared" si="68"/>
        <v>0.18559543701034079</v>
      </c>
      <c r="BB65" s="139">
        <f t="shared" si="18"/>
        <v>404.18236087365239</v>
      </c>
      <c r="BC65" s="137">
        <f t="shared" si="19"/>
        <v>2.0352000000000001</v>
      </c>
      <c r="BD65" s="138">
        <f t="shared" si="26"/>
        <v>4.0685631251328257E-2</v>
      </c>
      <c r="BE65" s="138">
        <f t="shared" si="8"/>
        <v>2.64</v>
      </c>
      <c r="BF65" s="138">
        <f t="shared" si="21"/>
        <v>0.05</v>
      </c>
      <c r="BG65" s="137">
        <f t="shared" ref="BG65:BG82" si="73">BG64+(BG$83-BG$63)/20</f>
        <v>1.1000000000000001</v>
      </c>
      <c r="BH65" s="141">
        <f t="shared" ref="BH65:BJ104" si="74">BH$22*BG$22*$BG$63/BG65^2</f>
        <v>9.1012069725323972E-3</v>
      </c>
      <c r="BI65" s="137">
        <f t="shared" ref="BI65:BI82" si="75">BI64+(BI$83-BI$63)/20</f>
        <v>1.1000000000000001</v>
      </c>
      <c r="BJ65" s="141">
        <f t="shared" si="74"/>
        <v>5.0415805785123967E-2</v>
      </c>
    </row>
    <row r="66" spans="25:62" ht="16.5" customHeight="1">
      <c r="AL66" s="111"/>
      <c r="AM66" s="137">
        <f t="shared" si="69"/>
        <v>1.9306999999999999</v>
      </c>
      <c r="AN66" s="138">
        <f t="shared" si="49"/>
        <v>1</v>
      </c>
      <c r="AO66" s="141">
        <f t="shared" si="65"/>
        <v>4.7802388884362709E-2</v>
      </c>
      <c r="AP66" s="139">
        <f t="shared" si="15"/>
        <v>44.278047770884356</v>
      </c>
      <c r="AQ66" s="137">
        <f t="shared" si="70"/>
        <v>2.0888</v>
      </c>
      <c r="AR66" s="138">
        <f t="shared" si="50"/>
        <v>1</v>
      </c>
      <c r="AS66" s="141">
        <f t="shared" si="66"/>
        <v>5.7936571032417949E-2</v>
      </c>
      <c r="AT66" s="139">
        <f t="shared" si="16"/>
        <v>62.813902527570278</v>
      </c>
      <c r="AU66" s="137">
        <f t="shared" si="71"/>
        <v>2.66</v>
      </c>
      <c r="AV66" s="138">
        <f t="shared" si="51"/>
        <v>1</v>
      </c>
      <c r="AW66" s="141">
        <f t="shared" si="67"/>
        <v>0.15692692907561473</v>
      </c>
      <c r="AX66" s="139">
        <f t="shared" si="17"/>
        <v>275.9116383224063</v>
      </c>
      <c r="AY66" s="137">
        <f t="shared" si="72"/>
        <v>2.962600000000001</v>
      </c>
      <c r="AZ66" s="138">
        <f t="shared" si="52"/>
        <v>1</v>
      </c>
      <c r="BA66" s="141">
        <f t="shared" si="68"/>
        <v>0.18531989636511145</v>
      </c>
      <c r="BB66" s="139">
        <f t="shared" si="18"/>
        <v>404.18236087365239</v>
      </c>
      <c r="BC66" s="137">
        <f t="shared" si="19"/>
        <v>2.0888</v>
      </c>
      <c r="BD66" s="138">
        <f t="shared" si="26"/>
        <v>3.8624380688278635E-2</v>
      </c>
      <c r="BE66" s="138">
        <f t="shared" si="8"/>
        <v>2.66</v>
      </c>
      <c r="BF66" s="138">
        <f t="shared" si="21"/>
        <v>0.05</v>
      </c>
      <c r="BG66" s="137">
        <f t="shared" si="73"/>
        <v>1.1500000000000001</v>
      </c>
      <c r="BH66" s="141">
        <f t="shared" si="74"/>
        <v>8.3270022206156525E-3</v>
      </c>
      <c r="BI66" s="137">
        <f t="shared" si="75"/>
        <v>1.1500000000000001</v>
      </c>
      <c r="BJ66" s="141">
        <f t="shared" si="74"/>
        <v>4.6127126654064265E-2</v>
      </c>
    </row>
    <row r="67" spans="25:62" ht="16.5" customHeight="1">
      <c r="AL67" s="111"/>
      <c r="AM67" s="137">
        <f t="shared" si="69"/>
        <v>1.9595999999999998</v>
      </c>
      <c r="AN67" s="138">
        <f t="shared" si="49"/>
        <v>1</v>
      </c>
      <c r="AO67" s="141">
        <f t="shared" si="65"/>
        <v>4.6402815499675072E-2</v>
      </c>
      <c r="AP67" s="139">
        <f t="shared" si="15"/>
        <v>44.278047770884356</v>
      </c>
      <c r="AQ67" s="137">
        <f t="shared" si="70"/>
        <v>2.1423999999999999</v>
      </c>
      <c r="AR67" s="138">
        <f t="shared" si="50"/>
        <v>1</v>
      </c>
      <c r="AS67" s="141">
        <f t="shared" si="66"/>
        <v>5.5073843516710248E-2</v>
      </c>
      <c r="AT67" s="139">
        <f t="shared" si="16"/>
        <v>62.813902527570278</v>
      </c>
      <c r="AU67" s="137">
        <f t="shared" si="71"/>
        <v>2.68</v>
      </c>
      <c r="AV67" s="138">
        <f t="shared" si="51"/>
        <v>1</v>
      </c>
      <c r="AW67" s="141">
        <f t="shared" si="67"/>
        <v>0.15459347563034911</v>
      </c>
      <c r="AX67" s="139">
        <f t="shared" si="17"/>
        <v>275.9116383224063</v>
      </c>
      <c r="AY67" s="137">
        <f t="shared" si="72"/>
        <v>2.9648000000000012</v>
      </c>
      <c r="AZ67" s="138">
        <f t="shared" si="52"/>
        <v>1</v>
      </c>
      <c r="BA67" s="141">
        <f t="shared" si="68"/>
        <v>0.18504496887876301</v>
      </c>
      <c r="BB67" s="139">
        <f t="shared" si="18"/>
        <v>404.18236087365244</v>
      </c>
      <c r="BC67" s="137">
        <f t="shared" si="19"/>
        <v>2.1423999999999999</v>
      </c>
      <c r="BD67" s="138">
        <f t="shared" si="26"/>
        <v>3.671589567780683E-2</v>
      </c>
      <c r="BE67" s="138">
        <f t="shared" si="8"/>
        <v>2.68</v>
      </c>
      <c r="BF67" s="138">
        <f t="shared" si="21"/>
        <v>0.05</v>
      </c>
      <c r="BG67" s="137">
        <f t="shared" si="73"/>
        <v>1.2000000000000002</v>
      </c>
      <c r="BH67" s="141">
        <f t="shared" si="74"/>
        <v>7.6475419699751392E-3</v>
      </c>
      <c r="BI67" s="137">
        <f t="shared" si="75"/>
        <v>1.2000000000000002</v>
      </c>
      <c r="BJ67" s="141">
        <f t="shared" si="74"/>
        <v>4.2363281249999996E-2</v>
      </c>
    </row>
    <row r="68" spans="25:62" ht="16.5" customHeight="1">
      <c r="AL68" s="111"/>
      <c r="AM68" s="137">
        <f t="shared" si="69"/>
        <v>1.9884999999999997</v>
      </c>
      <c r="AN68" s="138">
        <f t="shared" si="49"/>
        <v>1</v>
      </c>
      <c r="AO68" s="141">
        <f t="shared" si="65"/>
        <v>4.5063819965378948E-2</v>
      </c>
      <c r="AP68" s="139">
        <f t="shared" si="15"/>
        <v>44.278047770884363</v>
      </c>
      <c r="AQ68" s="137">
        <f t="shared" si="70"/>
        <v>2.1959999999999997</v>
      </c>
      <c r="AR68" s="138">
        <f t="shared" si="50"/>
        <v>1</v>
      </c>
      <c r="AS68" s="141">
        <f t="shared" si="66"/>
        <v>5.241816747353787E-2</v>
      </c>
      <c r="AT68" s="139">
        <f t="shared" si="16"/>
        <v>62.813902527570278</v>
      </c>
      <c r="AU68" s="137">
        <f t="shared" si="71"/>
        <v>2.7</v>
      </c>
      <c r="AV68" s="138">
        <f t="shared" si="51"/>
        <v>1</v>
      </c>
      <c r="AW68" s="141">
        <f t="shared" si="67"/>
        <v>0.15231168441254039</v>
      </c>
      <c r="AX68" s="139">
        <f t="shared" si="17"/>
        <v>275.9116383224063</v>
      </c>
      <c r="AY68" s="137">
        <f t="shared" si="72"/>
        <v>2.9670000000000014</v>
      </c>
      <c r="AZ68" s="138">
        <f t="shared" si="52"/>
        <v>1</v>
      </c>
      <c r="BA68" s="141">
        <f t="shared" si="68"/>
        <v>0.18477065273336568</v>
      </c>
      <c r="BB68" s="139">
        <f t="shared" si="18"/>
        <v>404.18236087365239</v>
      </c>
      <c r="BC68" s="137">
        <f t="shared" si="19"/>
        <v>2.1959999999999997</v>
      </c>
      <c r="BD68" s="138">
        <f t="shared" si="26"/>
        <v>3.4945444982358582E-2</v>
      </c>
      <c r="BE68" s="138">
        <f t="shared" si="8"/>
        <v>2.7</v>
      </c>
      <c r="BF68" s="138">
        <f t="shared" si="21"/>
        <v>0.05</v>
      </c>
      <c r="BG68" s="137">
        <f t="shared" si="73"/>
        <v>1.2500000000000002</v>
      </c>
      <c r="BH68" s="141">
        <f t="shared" si="74"/>
        <v>7.0479746795290878E-3</v>
      </c>
      <c r="BI68" s="137">
        <f t="shared" si="75"/>
        <v>1.2500000000000002</v>
      </c>
      <c r="BJ68" s="141">
        <f t="shared" si="74"/>
        <v>3.9041999999999993E-2</v>
      </c>
    </row>
    <row r="69" spans="25:62" ht="16.5" customHeight="1">
      <c r="AL69" s="111"/>
      <c r="AM69" s="137">
        <f t="shared" si="69"/>
        <v>2.0173999999999999</v>
      </c>
      <c r="AN69" s="138">
        <f t="shared" si="49"/>
        <v>1</v>
      </c>
      <c r="AO69" s="141">
        <f t="shared" si="65"/>
        <v>4.3781956066512688E-2</v>
      </c>
      <c r="AP69" s="139">
        <f t="shared" si="15"/>
        <v>44.278047770884356</v>
      </c>
      <c r="AQ69" s="137">
        <f t="shared" si="70"/>
        <v>2.2495999999999996</v>
      </c>
      <c r="AR69" s="138">
        <f t="shared" si="50"/>
        <v>1</v>
      </c>
      <c r="AS69" s="141">
        <f t="shared" si="66"/>
        <v>4.9950046737222351E-2</v>
      </c>
      <c r="AT69" s="139">
        <f t="shared" si="16"/>
        <v>62.813902527570278</v>
      </c>
      <c r="AU69" s="137">
        <f t="shared" si="71"/>
        <v>2.72</v>
      </c>
      <c r="AV69" s="138">
        <f t="shared" si="51"/>
        <v>1</v>
      </c>
      <c r="AW69" s="141">
        <f t="shared" si="67"/>
        <v>0.15008004154512047</v>
      </c>
      <c r="AX69" s="139">
        <f t="shared" si="17"/>
        <v>275.9116383224063</v>
      </c>
      <c r="AY69" s="137">
        <f t="shared" si="72"/>
        <v>2.9692000000000016</v>
      </c>
      <c r="AZ69" s="138">
        <f t="shared" si="52"/>
        <v>1</v>
      </c>
      <c r="BA69" s="141">
        <f t="shared" si="68"/>
        <v>0.18449694611772235</v>
      </c>
      <c r="BB69" s="139">
        <f t="shared" si="18"/>
        <v>404.18236087365239</v>
      </c>
      <c r="BC69" s="137">
        <f t="shared" si="19"/>
        <v>2.2495999999999996</v>
      </c>
      <c r="BD69" s="138">
        <f t="shared" si="26"/>
        <v>3.3300031158148231E-2</v>
      </c>
      <c r="BE69" s="138">
        <f t="shared" si="8"/>
        <v>2.72</v>
      </c>
      <c r="BF69" s="138">
        <f t="shared" si="21"/>
        <v>0.05</v>
      </c>
      <c r="BG69" s="137">
        <f t="shared" si="73"/>
        <v>1.3000000000000003</v>
      </c>
      <c r="BH69" s="141">
        <f t="shared" si="74"/>
        <v>6.5162487791504131E-3</v>
      </c>
      <c r="BI69" s="137">
        <f t="shared" si="75"/>
        <v>1.3000000000000003</v>
      </c>
      <c r="BJ69" s="141">
        <f t="shared" si="74"/>
        <v>3.6096523668639045E-2</v>
      </c>
    </row>
    <row r="70" spans="25:62" ht="16.5" customHeight="1">
      <c r="AL70" s="111"/>
      <c r="AM70" s="137">
        <f t="shared" si="69"/>
        <v>2.0463</v>
      </c>
      <c r="AN70" s="138">
        <f t="shared" si="49"/>
        <v>1</v>
      </c>
      <c r="AO70" s="141">
        <f t="shared" si="65"/>
        <v>4.25540192124279E-2</v>
      </c>
      <c r="AP70" s="139">
        <f t="shared" si="15"/>
        <v>44.278047770884356</v>
      </c>
      <c r="AQ70" s="137">
        <f t="shared" si="70"/>
        <v>2.3031999999999995</v>
      </c>
      <c r="AR70" s="138">
        <f t="shared" si="50"/>
        <v>1</v>
      </c>
      <c r="AS70" s="141">
        <f t="shared" si="66"/>
        <v>4.7652226989598742E-2</v>
      </c>
      <c r="AT70" s="139">
        <f t="shared" si="16"/>
        <v>62.813902527570278</v>
      </c>
      <c r="AU70" s="137">
        <f t="shared" si="71"/>
        <v>2.74</v>
      </c>
      <c r="AV70" s="138">
        <f t="shared" si="51"/>
        <v>1</v>
      </c>
      <c r="AW70" s="141">
        <f t="shared" si="67"/>
        <v>0.14789708819961364</v>
      </c>
      <c r="AX70" s="139">
        <f t="shared" si="17"/>
        <v>275.9116383224063</v>
      </c>
      <c r="AY70" s="137">
        <f t="shared" si="72"/>
        <v>2.9714000000000018</v>
      </c>
      <c r="AZ70" s="138">
        <f t="shared" si="52"/>
        <v>1</v>
      </c>
      <c r="BA70" s="141">
        <f t="shared" si="68"/>
        <v>0.18422384722733826</v>
      </c>
      <c r="BB70" s="139">
        <f t="shared" si="18"/>
        <v>404.18236087365239</v>
      </c>
      <c r="BC70" s="137">
        <f t="shared" si="19"/>
        <v>2.3031999999999995</v>
      </c>
      <c r="BD70" s="138">
        <f t="shared" si="26"/>
        <v>3.1768151326399159E-2</v>
      </c>
      <c r="BE70" s="138">
        <f t="shared" si="8"/>
        <v>2.74</v>
      </c>
      <c r="BF70" s="138">
        <f t="shared" si="21"/>
        <v>0.05</v>
      </c>
      <c r="BG70" s="137">
        <f t="shared" si="73"/>
        <v>1.3500000000000003</v>
      </c>
      <c r="BH70" s="141">
        <f t="shared" si="74"/>
        <v>6.042502297264306E-3</v>
      </c>
      <c r="BI70" s="137">
        <f t="shared" si="75"/>
        <v>1.3500000000000003</v>
      </c>
      <c r="BJ70" s="141">
        <f t="shared" si="74"/>
        <v>3.3472222222222209E-2</v>
      </c>
    </row>
    <row r="71" spans="25:62" ht="16.5" customHeight="1">
      <c r="AL71" s="111"/>
      <c r="AM71" s="137">
        <f t="shared" si="69"/>
        <v>2.0752000000000002</v>
      </c>
      <c r="AN71" s="138">
        <f t="shared" si="49"/>
        <v>1</v>
      </c>
      <c r="AO71" s="141">
        <f t="shared" si="65"/>
        <v>4.1377026389041026E-2</v>
      </c>
      <c r="AP71" s="139">
        <f t="shared" si="15"/>
        <v>44.278047770884363</v>
      </c>
      <c r="AQ71" s="137">
        <f t="shared" si="70"/>
        <v>2.3567999999999993</v>
      </c>
      <c r="AR71" s="138">
        <f t="shared" si="50"/>
        <v>1</v>
      </c>
      <c r="AS71" s="141">
        <f t="shared" si="66"/>
        <v>4.5509393381304164E-2</v>
      </c>
      <c r="AT71" s="139">
        <f t="shared" si="16"/>
        <v>62.813902527570278</v>
      </c>
      <c r="AU71" s="137">
        <f t="shared" si="71"/>
        <v>2.7600000000000002</v>
      </c>
      <c r="AV71" s="138">
        <f t="shared" si="51"/>
        <v>1</v>
      </c>
      <c r="AW71" s="141">
        <f t="shared" si="67"/>
        <v>0.14576141821143396</v>
      </c>
      <c r="AX71" s="139">
        <f t="shared" si="17"/>
        <v>275.9116383224063</v>
      </c>
      <c r="AY71" s="137">
        <f t="shared" si="72"/>
        <v>2.973600000000002</v>
      </c>
      <c r="AZ71" s="138">
        <f t="shared" si="52"/>
        <v>1</v>
      </c>
      <c r="BA71" s="141">
        <f t="shared" si="68"/>
        <v>0.18395135426439138</v>
      </c>
      <c r="BB71" s="139">
        <f t="shared" si="18"/>
        <v>404.18236087365239</v>
      </c>
      <c r="BC71" s="137">
        <f t="shared" si="19"/>
        <v>2.3567999999999993</v>
      </c>
      <c r="BD71" s="138">
        <f t="shared" si="26"/>
        <v>3.033959558753611E-2</v>
      </c>
      <c r="BE71" s="138">
        <f t="shared" si="8"/>
        <v>2.7600000000000002</v>
      </c>
      <c r="BF71" s="138">
        <f t="shared" si="21"/>
        <v>0.05</v>
      </c>
      <c r="BG71" s="137">
        <f t="shared" si="73"/>
        <v>1.4000000000000004</v>
      </c>
      <c r="BH71" s="141">
        <f t="shared" si="74"/>
        <v>5.6186022636552022E-3</v>
      </c>
      <c r="BI71" s="137">
        <f t="shared" si="75"/>
        <v>1.4000000000000004</v>
      </c>
      <c r="BJ71" s="141">
        <f t="shared" si="74"/>
        <v>3.1124043367346924E-2</v>
      </c>
    </row>
    <row r="72" spans="25:62" ht="16.5" customHeight="1">
      <c r="Y72" s="114"/>
      <c r="AL72" s="111"/>
      <c r="AM72" s="137">
        <f t="shared" si="69"/>
        <v>2.1041000000000003</v>
      </c>
      <c r="AN72" s="138">
        <f t="shared" si="49"/>
        <v>1</v>
      </c>
      <c r="AO72" s="141">
        <f t="shared" si="65"/>
        <v>4.0248198025191854E-2</v>
      </c>
      <c r="AP72" s="139">
        <f t="shared" si="15"/>
        <v>44.278047770884356</v>
      </c>
      <c r="AQ72" s="137">
        <f t="shared" si="70"/>
        <v>2.4103999999999992</v>
      </c>
      <c r="AR72" s="138">
        <f t="shared" si="50"/>
        <v>1</v>
      </c>
      <c r="AS72" s="141">
        <f t="shared" si="66"/>
        <v>4.3507914687124109E-2</v>
      </c>
      <c r="AT72" s="139">
        <f t="shared" si="16"/>
        <v>62.813902527570278</v>
      </c>
      <c r="AU72" s="137">
        <f t="shared" si="71"/>
        <v>2.7800000000000002</v>
      </c>
      <c r="AV72" s="138">
        <f t="shared" si="51"/>
        <v>1</v>
      </c>
      <c r="AW72" s="141">
        <f t="shared" si="67"/>
        <v>0.14367167581484128</v>
      </c>
      <c r="AX72" s="139">
        <f t="shared" si="17"/>
        <v>275.9116383224063</v>
      </c>
      <c r="AY72" s="137">
        <f t="shared" si="72"/>
        <v>2.9758000000000022</v>
      </c>
      <c r="AZ72" s="138">
        <f t="shared" si="52"/>
        <v>1</v>
      </c>
      <c r="BA72" s="141">
        <f t="shared" si="68"/>
        <v>0.18367946543770289</v>
      </c>
      <c r="BB72" s="139">
        <f t="shared" si="18"/>
        <v>404.18236087365239</v>
      </c>
      <c r="BC72" s="137">
        <f t="shared" si="19"/>
        <v>2.4103999999999992</v>
      </c>
      <c r="BD72" s="138">
        <f t="shared" si="26"/>
        <v>2.9005276458082738E-2</v>
      </c>
      <c r="BE72" s="138">
        <f t="shared" si="8"/>
        <v>2.7800000000000002</v>
      </c>
      <c r="BF72" s="138">
        <f t="shared" si="21"/>
        <v>0.05</v>
      </c>
      <c r="BG72" s="137">
        <f t="shared" si="73"/>
        <v>1.4500000000000004</v>
      </c>
      <c r="BH72" s="141">
        <f t="shared" si="74"/>
        <v>5.2377933111839216E-3</v>
      </c>
      <c r="BI72" s="137">
        <f t="shared" si="75"/>
        <v>1.4500000000000004</v>
      </c>
      <c r="BJ72" s="141">
        <f t="shared" si="74"/>
        <v>2.9014565992865619E-2</v>
      </c>
    </row>
    <row r="73" spans="25:62" ht="16.5" customHeight="1">
      <c r="AL73" s="111"/>
      <c r="AM73" s="137">
        <f t="shared" si="69"/>
        <v>2.1330000000000005</v>
      </c>
      <c r="AN73" s="138">
        <f t="shared" si="49"/>
        <v>1</v>
      </c>
      <c r="AO73" s="141">
        <f t="shared" si="65"/>
        <v>3.9164941567060664E-2</v>
      </c>
      <c r="AP73" s="139">
        <f t="shared" si="15"/>
        <v>44.278047770884356</v>
      </c>
      <c r="AQ73" s="137">
        <f t="shared" si="70"/>
        <v>2.4639999999999991</v>
      </c>
      <c r="AR73" s="138">
        <f t="shared" si="50"/>
        <v>1</v>
      </c>
      <c r="AS73" s="141">
        <f t="shared" si="66"/>
        <v>4.1635625987444642E-2</v>
      </c>
      <c r="AT73" s="139">
        <f t="shared" si="16"/>
        <v>62.813902527570278</v>
      </c>
      <c r="AU73" s="137">
        <f t="shared" si="71"/>
        <v>2.8000000000000003</v>
      </c>
      <c r="AV73" s="138">
        <f t="shared" si="51"/>
        <v>1</v>
      </c>
      <c r="AW73" s="141">
        <f t="shared" si="67"/>
        <v>0.14162655349074227</v>
      </c>
      <c r="AX73" s="139">
        <f t="shared" si="17"/>
        <v>275.9116383224063</v>
      </c>
      <c r="AY73" s="137">
        <f t="shared" si="72"/>
        <v>2.9780000000000024</v>
      </c>
      <c r="AZ73" s="138">
        <f t="shared" si="52"/>
        <v>1</v>
      </c>
      <c r="BA73" s="141">
        <f t="shared" si="68"/>
        <v>0.18340817896270775</v>
      </c>
      <c r="BB73" s="139">
        <f t="shared" si="18"/>
        <v>404.18236087365233</v>
      </c>
      <c r="BC73" s="137">
        <f t="shared" si="19"/>
        <v>2.4639999999999991</v>
      </c>
      <c r="BD73" s="138">
        <f t="shared" si="26"/>
        <v>2.7757083991629763E-2</v>
      </c>
      <c r="BE73" s="138">
        <f t="shared" si="8"/>
        <v>2.8000000000000003</v>
      </c>
      <c r="BF73" s="138">
        <f t="shared" si="21"/>
        <v>0.05</v>
      </c>
      <c r="BG73" s="137">
        <f t="shared" si="73"/>
        <v>1.5000000000000004</v>
      </c>
      <c r="BH73" s="141">
        <f t="shared" si="74"/>
        <v>4.8944268607840876E-3</v>
      </c>
      <c r="BI73" s="137">
        <f t="shared" si="75"/>
        <v>1.5000000000000004</v>
      </c>
      <c r="BJ73" s="141">
        <f t="shared" si="74"/>
        <v>2.7112499999999987E-2</v>
      </c>
    </row>
    <row r="74" spans="25:62" ht="16.5" customHeight="1">
      <c r="AL74" s="111"/>
      <c r="AM74" s="137">
        <f t="shared" si="69"/>
        <v>2.1619000000000006</v>
      </c>
      <c r="AN74" s="138">
        <f t="shared" si="49"/>
        <v>1</v>
      </c>
      <c r="AO74" s="141">
        <f t="shared" si="65"/>
        <v>3.8124836579217329E-2</v>
      </c>
      <c r="AP74" s="139">
        <f t="shared" si="15"/>
        <v>44.278047770884363</v>
      </c>
      <c r="AQ74" s="137">
        <f t="shared" si="70"/>
        <v>2.5175999999999989</v>
      </c>
      <c r="AR74" s="138">
        <f t="shared" si="50"/>
        <v>1</v>
      </c>
      <c r="AS74" s="141">
        <f t="shared" si="66"/>
        <v>3.9881643385486533E-2</v>
      </c>
      <c r="AT74" s="139">
        <f t="shared" si="16"/>
        <v>62.813902527570278</v>
      </c>
      <c r="AU74" s="137">
        <f t="shared" si="71"/>
        <v>2.8200000000000003</v>
      </c>
      <c r="AV74" s="138">
        <f t="shared" si="51"/>
        <v>1</v>
      </c>
      <c r="AW74" s="141">
        <f t="shared" si="67"/>
        <v>0.13962478992095712</v>
      </c>
      <c r="AX74" s="139">
        <f t="shared" si="17"/>
        <v>275.9116383224063</v>
      </c>
      <c r="AY74" s="137">
        <f t="shared" si="72"/>
        <v>2.9802000000000026</v>
      </c>
      <c r="AZ74" s="138">
        <f t="shared" si="52"/>
        <v>1</v>
      </c>
      <c r="BA74" s="141">
        <f t="shared" si="68"/>
        <v>0.18313749306142532</v>
      </c>
      <c r="BB74" s="139">
        <f t="shared" si="18"/>
        <v>404.18236087365244</v>
      </c>
      <c r="BC74" s="137">
        <f t="shared" si="19"/>
        <v>2.5175999999999989</v>
      </c>
      <c r="BD74" s="138">
        <f t="shared" si="26"/>
        <v>2.6587762256991023E-2</v>
      </c>
      <c r="BE74" s="138">
        <f t="shared" si="8"/>
        <v>2.8200000000000003</v>
      </c>
      <c r="BF74" s="138">
        <f t="shared" si="21"/>
        <v>0.05</v>
      </c>
      <c r="BG74" s="137">
        <f t="shared" si="73"/>
        <v>1.5500000000000005</v>
      </c>
      <c r="BH74" s="141">
        <f t="shared" si="74"/>
        <v>4.5837504419413925E-3</v>
      </c>
      <c r="BI74" s="137">
        <f t="shared" si="75"/>
        <v>1.5500000000000005</v>
      </c>
      <c r="BJ74" s="141">
        <f t="shared" si="74"/>
        <v>2.5391519250780422E-2</v>
      </c>
    </row>
    <row r="75" spans="25:62" ht="16.5" customHeight="1">
      <c r="AL75" s="111"/>
      <c r="AM75" s="137">
        <f t="shared" si="69"/>
        <v>2.1908000000000007</v>
      </c>
      <c r="AN75" s="138">
        <f t="shared" si="49"/>
        <v>1</v>
      </c>
      <c r="AO75" s="141">
        <f t="shared" si="65"/>
        <v>3.7125621212271059E-2</v>
      </c>
      <c r="AP75" s="139">
        <f t="shared" si="15"/>
        <v>44.278047770884363</v>
      </c>
      <c r="AQ75" s="137">
        <f t="shared" si="70"/>
        <v>2.5711999999999988</v>
      </c>
      <c r="AR75" s="138">
        <f t="shared" si="50"/>
        <v>1</v>
      </c>
      <c r="AS75" s="141">
        <f t="shared" si="66"/>
        <v>3.8236205474657475E-2</v>
      </c>
      <c r="AT75" s="139">
        <f t="shared" si="16"/>
        <v>62.813902527570278</v>
      </c>
      <c r="AU75" s="137">
        <f t="shared" si="71"/>
        <v>2.8400000000000003</v>
      </c>
      <c r="AV75" s="138">
        <f t="shared" si="51"/>
        <v>1</v>
      </c>
      <c r="AW75" s="141">
        <f t="shared" si="67"/>
        <v>0.13766516804297502</v>
      </c>
      <c r="AX75" s="139">
        <f t="shared" si="17"/>
        <v>275.9116383224063</v>
      </c>
      <c r="AY75" s="137">
        <f t="shared" si="72"/>
        <v>2.9824000000000028</v>
      </c>
      <c r="AZ75" s="138">
        <f t="shared" si="52"/>
        <v>1</v>
      </c>
      <c r="BA75" s="141">
        <f t="shared" si="68"/>
        <v>0.18286740596243017</v>
      </c>
      <c r="BB75" s="139">
        <f t="shared" si="18"/>
        <v>404.18236087365239</v>
      </c>
      <c r="BC75" s="137">
        <f t="shared" si="19"/>
        <v>2.5711999999999988</v>
      </c>
      <c r="BD75" s="138">
        <f t="shared" si="26"/>
        <v>2.5490803649771649E-2</v>
      </c>
      <c r="BE75" s="138">
        <f t="shared" si="8"/>
        <v>2.8400000000000003</v>
      </c>
      <c r="BF75" s="138">
        <f t="shared" si="21"/>
        <v>0.05</v>
      </c>
      <c r="BG75" s="137">
        <f t="shared" si="73"/>
        <v>1.6000000000000005</v>
      </c>
      <c r="BH75" s="141">
        <f t="shared" si="74"/>
        <v>4.3017423581110138E-3</v>
      </c>
      <c r="BI75" s="137">
        <f t="shared" si="75"/>
        <v>1.6000000000000005</v>
      </c>
      <c r="BJ75" s="141">
        <f t="shared" si="74"/>
        <v>2.3829345703124984E-2</v>
      </c>
    </row>
    <row r="76" spans="25:62" ht="16.5" customHeight="1">
      <c r="AL76" s="111"/>
      <c r="AM76" s="137">
        <f t="shared" si="69"/>
        <v>2.2197000000000009</v>
      </c>
      <c r="AN76" s="138">
        <f t="shared" si="49"/>
        <v>1</v>
      </c>
      <c r="AO76" s="141">
        <f t="shared" si="65"/>
        <v>3.6165179895717367E-2</v>
      </c>
      <c r="AP76" s="139">
        <f t="shared" si="15"/>
        <v>44.278047770884356</v>
      </c>
      <c r="AQ76" s="137">
        <f t="shared" si="70"/>
        <v>2.6247999999999987</v>
      </c>
      <c r="AR76" s="138">
        <f t="shared" si="50"/>
        <v>1</v>
      </c>
      <c r="AS76" s="141">
        <f t="shared" si="66"/>
        <v>3.6690537231606778E-2</v>
      </c>
      <c r="AT76" s="139">
        <f t="shared" si="16"/>
        <v>62.813902527570278</v>
      </c>
      <c r="AU76" s="137">
        <f t="shared" si="71"/>
        <v>2.8600000000000003</v>
      </c>
      <c r="AV76" s="138">
        <f t="shared" si="51"/>
        <v>1</v>
      </c>
      <c r="AW76" s="141">
        <f t="shared" si="67"/>
        <v>0.13574651319959646</v>
      </c>
      <c r="AX76" s="139">
        <f t="shared" si="17"/>
        <v>275.9116383224063</v>
      </c>
      <c r="AY76" s="137">
        <f t="shared" si="72"/>
        <v>2.984600000000003</v>
      </c>
      <c r="AZ76" s="138">
        <f t="shared" si="52"/>
        <v>1</v>
      </c>
      <c r="BA76" s="141">
        <f t="shared" si="68"/>
        <v>0.18259791590082344</v>
      </c>
      <c r="BB76" s="139">
        <f t="shared" si="18"/>
        <v>404.18236087365244</v>
      </c>
      <c r="BC76" s="137">
        <f t="shared" si="19"/>
        <v>2.6247999999999987</v>
      </c>
      <c r="BD76" s="138">
        <f t="shared" si="26"/>
        <v>2.4460358154404518E-2</v>
      </c>
      <c r="BE76" s="138">
        <f t="shared" si="8"/>
        <v>2.8600000000000003</v>
      </c>
      <c r="BF76" s="138">
        <f t="shared" si="21"/>
        <v>0.05</v>
      </c>
      <c r="BG76" s="137">
        <f t="shared" si="73"/>
        <v>1.6500000000000006</v>
      </c>
      <c r="BH76" s="141">
        <f t="shared" si="74"/>
        <v>4.0449808766810638E-3</v>
      </c>
      <c r="BI76" s="137">
        <f t="shared" si="75"/>
        <v>1.6500000000000006</v>
      </c>
      <c r="BJ76" s="141">
        <f t="shared" si="74"/>
        <v>2.2407024793388415E-2</v>
      </c>
    </row>
    <row r="77" spans="25:62" ht="16.5" customHeight="1">
      <c r="AL77" s="111"/>
      <c r="AM77" s="137">
        <f t="shared" si="69"/>
        <v>2.248600000000001</v>
      </c>
      <c r="AN77" s="138">
        <f t="shared" si="49"/>
        <v>1</v>
      </c>
      <c r="AO77" s="141">
        <f t="shared" si="65"/>
        <v>3.5241532130828604E-2</v>
      </c>
      <c r="AP77" s="139">
        <f t="shared" si="15"/>
        <v>44.278047770884356</v>
      </c>
      <c r="AQ77" s="137">
        <f t="shared" si="70"/>
        <v>2.6783999999999986</v>
      </c>
      <c r="AR77" s="138">
        <f t="shared" si="50"/>
        <v>1</v>
      </c>
      <c r="AS77" s="141">
        <f t="shared" si="66"/>
        <v>3.5236732781433286E-2</v>
      </c>
      <c r="AT77" s="139">
        <f t="shared" si="16"/>
        <v>62.813902527570264</v>
      </c>
      <c r="AU77" s="137">
        <f t="shared" si="71"/>
        <v>2.8800000000000003</v>
      </c>
      <c r="AV77" s="138">
        <f t="shared" si="51"/>
        <v>1</v>
      </c>
      <c r="AW77" s="141">
        <f t="shared" si="67"/>
        <v>0.13386769137820934</v>
      </c>
      <c r="AX77" s="139">
        <f t="shared" si="17"/>
        <v>275.91163832240636</v>
      </c>
      <c r="AY77" s="137">
        <f t="shared" si="72"/>
        <v>2.9868000000000032</v>
      </c>
      <c r="AZ77" s="138">
        <f t="shared" si="52"/>
        <v>1</v>
      </c>
      <c r="BA77" s="141">
        <f t="shared" si="68"/>
        <v>0.18232902111820351</v>
      </c>
      <c r="BB77" s="139">
        <f t="shared" si="18"/>
        <v>404.18236087365239</v>
      </c>
      <c r="BC77" s="137">
        <f t="shared" si="19"/>
        <v>2.6783999999999986</v>
      </c>
      <c r="BD77" s="138">
        <f t="shared" si="26"/>
        <v>2.3491155187622192E-2</v>
      </c>
      <c r="BE77" s="138">
        <f t="shared" si="8"/>
        <v>2.8800000000000003</v>
      </c>
      <c r="BF77" s="138">
        <f t="shared" si="21"/>
        <v>0.05</v>
      </c>
      <c r="BG77" s="137">
        <f t="shared" si="73"/>
        <v>1.7000000000000006</v>
      </c>
      <c r="BH77" s="141">
        <f t="shared" si="74"/>
        <v>3.8105399435170227E-3</v>
      </c>
      <c r="BI77" s="137">
        <f t="shared" si="75"/>
        <v>1.7000000000000006</v>
      </c>
      <c r="BJ77" s="141">
        <f t="shared" si="74"/>
        <v>2.110834775086504E-2</v>
      </c>
    </row>
    <row r="78" spans="25:62" ht="16.5" customHeight="1">
      <c r="AL78" s="111"/>
      <c r="AM78" s="137">
        <f t="shared" si="69"/>
        <v>2.2775000000000012</v>
      </c>
      <c r="AN78" s="138">
        <f t="shared" si="49"/>
        <v>1</v>
      </c>
      <c r="AO78" s="141">
        <f t="shared" si="65"/>
        <v>3.4352822272635301E-2</v>
      </c>
      <c r="AP78" s="139">
        <f t="shared" si="15"/>
        <v>44.278047770884356</v>
      </c>
      <c r="AQ78" s="137">
        <f t="shared" si="70"/>
        <v>2.7319999999999984</v>
      </c>
      <c r="AR78" s="138">
        <f t="shared" si="50"/>
        <v>1</v>
      </c>
      <c r="AS78" s="141">
        <f t="shared" si="66"/>
        <v>3.3867654102651509E-2</v>
      </c>
      <c r="AT78" s="139">
        <f t="shared" si="16"/>
        <v>62.813902527570278</v>
      </c>
      <c r="AU78" s="137">
        <f t="shared" si="71"/>
        <v>2.9000000000000004</v>
      </c>
      <c r="AV78" s="138">
        <f t="shared" si="51"/>
        <v>1</v>
      </c>
      <c r="AW78" s="141">
        <f t="shared" si="67"/>
        <v>0.13202760753477044</v>
      </c>
      <c r="AX78" s="139">
        <f t="shared" si="17"/>
        <v>275.9116383224063</v>
      </c>
      <c r="AY78" s="137">
        <f t="shared" si="72"/>
        <v>2.9890000000000034</v>
      </c>
      <c r="AZ78" s="138">
        <f t="shared" si="52"/>
        <v>1</v>
      </c>
      <c r="BA78" s="141">
        <f t="shared" si="68"/>
        <v>0.18206071986263778</v>
      </c>
      <c r="BB78" s="139">
        <f t="shared" si="18"/>
        <v>404.18236087365239</v>
      </c>
      <c r="BC78" s="137">
        <f t="shared" si="19"/>
        <v>2.7319999999999984</v>
      </c>
      <c r="BD78" s="138">
        <f t="shared" si="26"/>
        <v>2.2578436068434338E-2</v>
      </c>
      <c r="BE78" s="138">
        <f t="shared" si="8"/>
        <v>2.9000000000000004</v>
      </c>
      <c r="BF78" s="138">
        <f t="shared" si="21"/>
        <v>0.05</v>
      </c>
      <c r="BG78" s="137">
        <f t="shared" si="73"/>
        <v>1.7500000000000007</v>
      </c>
      <c r="BH78" s="141">
        <f t="shared" si="74"/>
        <v>3.5959054487393291E-3</v>
      </c>
      <c r="BI78" s="137">
        <f t="shared" si="75"/>
        <v>1.7500000000000007</v>
      </c>
      <c r="BJ78" s="141">
        <f t="shared" si="74"/>
        <v>1.991938775510203E-2</v>
      </c>
    </row>
    <row r="79" spans="25:62" ht="16.5" customHeight="1">
      <c r="AL79" s="111"/>
      <c r="AM79" s="137">
        <f t="shared" si="69"/>
        <v>2.3064000000000013</v>
      </c>
      <c r="AN79" s="138">
        <f t="shared" si="49"/>
        <v>1</v>
      </c>
      <c r="AO79" s="141">
        <f t="shared" si="65"/>
        <v>3.3497310202478578E-2</v>
      </c>
      <c r="AP79" s="139">
        <f t="shared" si="15"/>
        <v>44.27804777088437</v>
      </c>
      <c r="AQ79" s="137">
        <f t="shared" si="70"/>
        <v>2.7855999999999983</v>
      </c>
      <c r="AR79" s="138">
        <f t="shared" si="50"/>
        <v>1</v>
      </c>
      <c r="AS79" s="141">
        <f t="shared" si="66"/>
        <v>3.2576843242336236E-2</v>
      </c>
      <c r="AT79" s="139">
        <f t="shared" si="16"/>
        <v>62.813902527570264</v>
      </c>
      <c r="AU79" s="137">
        <f t="shared" si="71"/>
        <v>2.9200000000000004</v>
      </c>
      <c r="AV79" s="138">
        <f t="shared" si="51"/>
        <v>1</v>
      </c>
      <c r="AW79" s="141">
        <f t="shared" si="67"/>
        <v>0.13022520399786772</v>
      </c>
      <c r="AX79" s="139">
        <f t="shared" si="17"/>
        <v>275.9116383224063</v>
      </c>
      <c r="AY79" s="137">
        <f t="shared" si="72"/>
        <v>2.9912000000000036</v>
      </c>
      <c r="AZ79" s="138">
        <f t="shared" si="52"/>
        <v>1</v>
      </c>
      <c r="BA79" s="141">
        <f t="shared" si="68"/>
        <v>0.18179301038863382</v>
      </c>
      <c r="BB79" s="139">
        <f t="shared" si="18"/>
        <v>404.18236087365239</v>
      </c>
      <c r="BC79" s="137">
        <f t="shared" si="19"/>
        <v>2.7855999999999983</v>
      </c>
      <c r="BD79" s="138">
        <f t="shared" si="26"/>
        <v>2.1717895494890824E-2</v>
      </c>
      <c r="BE79" s="138">
        <f t="shared" ref="BE79:BE140" si="76">IF($B$29="",-1,AU79)</f>
        <v>2.9200000000000004</v>
      </c>
      <c r="BF79" s="138">
        <f t="shared" si="21"/>
        <v>0.05</v>
      </c>
      <c r="BG79" s="137">
        <f t="shared" si="73"/>
        <v>1.8000000000000007</v>
      </c>
      <c r="BH79" s="141">
        <f t="shared" si="74"/>
        <v>3.398907542211171E-3</v>
      </c>
      <c r="BI79" s="137">
        <f t="shared" si="75"/>
        <v>1.8000000000000007</v>
      </c>
      <c r="BJ79" s="141">
        <f t="shared" si="74"/>
        <v>1.8828124999999987E-2</v>
      </c>
    </row>
    <row r="80" spans="25:62" ht="16.5" customHeight="1">
      <c r="AL80" s="111"/>
      <c r="AM80" s="137">
        <f t="shared" si="69"/>
        <v>2.3353000000000015</v>
      </c>
      <c r="AN80" s="138">
        <f t="shared" si="49"/>
        <v>1</v>
      </c>
      <c r="AO80" s="141">
        <f t="shared" si="65"/>
        <v>3.2673362803517486E-2</v>
      </c>
      <c r="AP80" s="139">
        <f t="shared" si="15"/>
        <v>44.278047770884363</v>
      </c>
      <c r="AQ80" s="137">
        <f t="shared" si="70"/>
        <v>2.8391999999999982</v>
      </c>
      <c r="AR80" s="138">
        <f t="shared" si="50"/>
        <v>1</v>
      </c>
      <c r="AS80" s="141">
        <f t="shared" si="66"/>
        <v>3.135844602067811E-2</v>
      </c>
      <c r="AT80" s="139">
        <f t="shared" si="16"/>
        <v>62.813902527570278</v>
      </c>
      <c r="AU80" s="137">
        <f t="shared" si="71"/>
        <v>2.9400000000000004</v>
      </c>
      <c r="AV80" s="138">
        <f t="shared" si="51"/>
        <v>1</v>
      </c>
      <c r="AW80" s="141">
        <f t="shared" si="67"/>
        <v>0.12845945894851904</v>
      </c>
      <c r="AX80" s="139">
        <f t="shared" si="17"/>
        <v>275.9116383224063</v>
      </c>
      <c r="AY80" s="137">
        <f t="shared" si="72"/>
        <v>2.9934000000000038</v>
      </c>
      <c r="AZ80" s="138">
        <f t="shared" si="52"/>
        <v>1</v>
      </c>
      <c r="BA80" s="141">
        <f t="shared" si="68"/>
        <v>0.18152589095711116</v>
      </c>
      <c r="BB80" s="139">
        <f t="shared" si="18"/>
        <v>404.18236087365239</v>
      </c>
      <c r="BC80" s="137">
        <f t="shared" si="19"/>
        <v>2.8391999999999982</v>
      </c>
      <c r="BD80" s="138">
        <f t="shared" si="26"/>
        <v>2.0905630680452075E-2</v>
      </c>
      <c r="BE80" s="138">
        <f t="shared" si="76"/>
        <v>2.9400000000000004</v>
      </c>
      <c r="BF80" s="138">
        <f t="shared" si="21"/>
        <v>0.05</v>
      </c>
      <c r="BG80" s="137">
        <f t="shared" si="73"/>
        <v>1.8500000000000008</v>
      </c>
      <c r="BH80" s="141">
        <f t="shared" si="74"/>
        <v>3.2176655768485591E-3</v>
      </c>
      <c r="BI80" s="137">
        <f t="shared" si="75"/>
        <v>1.8500000000000008</v>
      </c>
      <c r="BJ80" s="141">
        <f t="shared" si="74"/>
        <v>1.782414170927683E-2</v>
      </c>
    </row>
    <row r="81" spans="24:62" ht="16.5" customHeight="1">
      <c r="AL81" s="111"/>
      <c r="AM81" s="137">
        <f t="shared" si="69"/>
        <v>2.3642000000000016</v>
      </c>
      <c r="AN81" s="138">
        <f t="shared" si="49"/>
        <v>1</v>
      </c>
      <c r="AO81" s="141">
        <f t="shared" si="65"/>
        <v>3.1879446161155102E-2</v>
      </c>
      <c r="AP81" s="139">
        <f t="shared" ref="AP81:AP130" si="77">AO81*9.81*(AM81)^2*$AL$135</f>
        <v>44.278047770884356</v>
      </c>
      <c r="AQ81" s="137">
        <f t="shared" si="70"/>
        <v>2.892799999999998</v>
      </c>
      <c r="AR81" s="138">
        <f t="shared" si="50"/>
        <v>1</v>
      </c>
      <c r="AS81" s="141">
        <f t="shared" si="66"/>
        <v>3.0207145537967862E-2</v>
      </c>
      <c r="AT81" s="139">
        <f t="shared" ref="AT81:AT130" si="78">AS81*9.81*(AQ81)^2*$AL$135</f>
        <v>62.813902527570285</v>
      </c>
      <c r="AU81" s="137">
        <f t="shared" si="71"/>
        <v>2.9600000000000004</v>
      </c>
      <c r="AV81" s="138">
        <f t="shared" si="51"/>
        <v>1</v>
      </c>
      <c r="AW81" s="141">
        <f t="shared" si="67"/>
        <v>0.12672938497162839</v>
      </c>
      <c r="AX81" s="139">
        <f t="shared" ref="AX81:AX130" si="79">AW81*9.81*(AU81)^2*$AL$135</f>
        <v>275.9116383224063</v>
      </c>
      <c r="AY81" s="137">
        <f t="shared" si="72"/>
        <v>2.995600000000004</v>
      </c>
      <c r="AZ81" s="138">
        <f t="shared" si="52"/>
        <v>1</v>
      </c>
      <c r="BA81" s="141">
        <f t="shared" si="68"/>
        <v>0.18125935983537292</v>
      </c>
      <c r="BB81" s="139">
        <f t="shared" ref="BB81:BB130" si="80">BA81*9.81*(AY81)^2*$AL$135</f>
        <v>404.18236087365244</v>
      </c>
      <c r="BC81" s="137">
        <f t="shared" si="19"/>
        <v>2.892799999999998</v>
      </c>
      <c r="BD81" s="138">
        <f t="shared" si="26"/>
        <v>2.0138097025311909E-2</v>
      </c>
      <c r="BE81" s="138">
        <f t="shared" si="76"/>
        <v>2.9600000000000004</v>
      </c>
      <c r="BF81" s="138">
        <f t="shared" si="21"/>
        <v>0.05</v>
      </c>
      <c r="BG81" s="137">
        <f t="shared" si="73"/>
        <v>1.9000000000000008</v>
      </c>
      <c r="BH81" s="141">
        <f t="shared" si="74"/>
        <v>3.0505430572753999E-3</v>
      </c>
      <c r="BI81" s="137">
        <f t="shared" si="75"/>
        <v>1.9000000000000008</v>
      </c>
      <c r="BJ81" s="141">
        <f t="shared" si="74"/>
        <v>1.6898372576177274E-2</v>
      </c>
    </row>
    <row r="82" spans="24:62" ht="16.5" customHeight="1">
      <c r="AH82" s="111" t="s">
        <v>4</v>
      </c>
      <c r="AI82" s="111" t="s">
        <v>5</v>
      </c>
      <c r="AJ82" s="111" t="s">
        <v>6</v>
      </c>
      <c r="AK82" s="111" t="s">
        <v>7</v>
      </c>
      <c r="AM82" s="137">
        <f t="shared" si="69"/>
        <v>2.3931000000000018</v>
      </c>
      <c r="AN82" s="138">
        <f t="shared" si="49"/>
        <v>1</v>
      </c>
      <c r="AO82" s="141">
        <f t="shared" si="65"/>
        <v>3.1114118418776111E-2</v>
      </c>
      <c r="AP82" s="139">
        <f t="shared" si="77"/>
        <v>44.278047770884363</v>
      </c>
      <c r="AQ82" s="137">
        <f t="shared" si="70"/>
        <v>2.9463999999999979</v>
      </c>
      <c r="AR82" s="138">
        <f t="shared" si="50"/>
        <v>1</v>
      </c>
      <c r="AS82" s="141">
        <f t="shared" si="66"/>
        <v>2.9118104070657964E-2</v>
      </c>
      <c r="AT82" s="139">
        <f t="shared" si="78"/>
        <v>62.813902527570278</v>
      </c>
      <c r="AU82" s="137">
        <f t="shared" si="71"/>
        <v>2.9800000000000004</v>
      </c>
      <c r="AV82" s="138">
        <f t="shared" si="51"/>
        <v>1</v>
      </c>
      <c r="AW82" s="141">
        <f t="shared" si="67"/>
        <v>0.12503402767526453</v>
      </c>
      <c r="AX82" s="139">
        <f t="shared" si="79"/>
        <v>275.9116383224063</v>
      </c>
      <c r="AY82" s="137">
        <f t="shared" si="72"/>
        <v>2.9978000000000042</v>
      </c>
      <c r="AZ82" s="138">
        <f t="shared" si="52"/>
        <v>1</v>
      </c>
      <c r="BA82" s="141">
        <f t="shared" si="68"/>
        <v>0.18099341529707774</v>
      </c>
      <c r="BB82" s="139">
        <f t="shared" si="80"/>
        <v>404.18236087365239</v>
      </c>
      <c r="BC82" s="137">
        <f t="shared" si="19"/>
        <v>2.9463999999999979</v>
      </c>
      <c r="BD82" s="138">
        <f t="shared" si="26"/>
        <v>1.9412069380438643E-2</v>
      </c>
      <c r="BE82" s="138">
        <f t="shared" si="76"/>
        <v>2.9800000000000004</v>
      </c>
      <c r="BF82" s="138">
        <f t="shared" ref="BF82:BF140" si="81">IF($A$26="ordinaria",MAX(AW82/$AB$6/IF($B$29="",1,$B$29),0.2*$C$9),AW82/$B$29)</f>
        <v>0.05</v>
      </c>
      <c r="BG82" s="137">
        <f t="shared" si="73"/>
        <v>1.9500000000000008</v>
      </c>
      <c r="BH82" s="141">
        <f t="shared" si="74"/>
        <v>2.8961105685112935E-3</v>
      </c>
      <c r="BI82" s="137">
        <f t="shared" si="75"/>
        <v>1.9500000000000008</v>
      </c>
      <c r="BJ82" s="141">
        <f t="shared" si="74"/>
        <v>1.604289940828401E-2</v>
      </c>
    </row>
    <row r="83" spans="24:62" ht="16.5" customHeight="1">
      <c r="AH83" s="111" t="str">
        <f>IF($A$26="ordinaria","tra Td-3s",IF(AM83=$AE$7,"0.8 Tiso","tra Td-3s"))</f>
        <v>tra Td-3s</v>
      </c>
      <c r="AI83" s="111" t="str">
        <f>IF($A$26="ordinaria","tra Td-3s",IF(AQ83=$AE$7,"0.8 Tiso","tra Td-3s"))</f>
        <v>tra Td-3s</v>
      </c>
      <c r="AJ83" s="111" t="str">
        <f>IF($A$26="ordinaria","tra Td-3s",IF(AU83=$AE$7,"0.8 Tiso","tra Td-3s"))</f>
        <v>tra Td-3s</v>
      </c>
      <c r="AK83" s="111" t="str">
        <f>IF($A$26="ordinaria","tra Td-3s",IF(AY83=$AE$7,"0.8 Tiso","tra Td-3s"))</f>
        <v>tra Td-3s</v>
      </c>
      <c r="AL83" s="145" t="s">
        <v>170</v>
      </c>
      <c r="AM83" s="137">
        <f>IF(A26="ordinaria",(AM63+AM104)/2,IF($AE$7&lt;AM$63,(AM63+AM104)/2,$AE$7))</f>
        <v>2.4220000000000002</v>
      </c>
      <c r="AN83" s="138">
        <f t="shared" si="49"/>
        <v>1</v>
      </c>
      <c r="AO83" s="141">
        <f t="shared" si="65"/>
        <v>3.0376023226619104E-2</v>
      </c>
      <c r="AP83" s="139">
        <f t="shared" si="77"/>
        <v>44.278047770884356</v>
      </c>
      <c r="AQ83" s="137">
        <f>IF(E26="ordinaria",(AQ63+AQ104)/2,IF($AE$7&lt;AQ$63,(AQ63+AQ104)/2,$AE$7))</f>
        <v>3</v>
      </c>
      <c r="AR83" s="138">
        <f t="shared" si="50"/>
        <v>1</v>
      </c>
      <c r="AS83" s="141">
        <f t="shared" si="66"/>
        <v>2.8086912168340947E-2</v>
      </c>
      <c r="AT83" s="139">
        <f t="shared" si="78"/>
        <v>62.813902527570264</v>
      </c>
      <c r="AU83" s="137">
        <f>IF(H26="ordinaria",(AU63+AU104)/2,IF($AE$7&lt;AU$63,(AU63+AU104)/2,$AE$7))</f>
        <v>3</v>
      </c>
      <c r="AV83" s="138">
        <f t="shared" si="51"/>
        <v>1</v>
      </c>
      <c r="AW83" s="141">
        <f t="shared" si="67"/>
        <v>0.12337246437415773</v>
      </c>
      <c r="AX83" s="139">
        <f t="shared" si="79"/>
        <v>275.9116383224063</v>
      </c>
      <c r="AY83" s="137">
        <f>IF(K26="ordinaria",(AY63+AY104)/2,IF($AE$7&lt;AY$63,(AY63+AY104)/2,$AE$7))</f>
        <v>3</v>
      </c>
      <c r="AZ83" s="138">
        <f t="shared" si="52"/>
        <v>1</v>
      </c>
      <c r="BA83" s="141">
        <f t="shared" si="68"/>
        <v>0.18072805562221256</v>
      </c>
      <c r="BB83" s="139">
        <f t="shared" si="80"/>
        <v>404.18236087365239</v>
      </c>
      <c r="BC83" s="137">
        <f t="shared" si="19"/>
        <v>3</v>
      </c>
      <c r="BD83" s="138">
        <f t="shared" si="26"/>
        <v>1.8724608112227297E-2</v>
      </c>
      <c r="BE83" s="138">
        <f t="shared" si="76"/>
        <v>3</v>
      </c>
      <c r="BF83" s="138">
        <f t="shared" si="81"/>
        <v>0.05</v>
      </c>
      <c r="BG83" s="137">
        <f>(BG63+BG104)/2</f>
        <v>2</v>
      </c>
      <c r="BH83" s="141">
        <f t="shared" si="74"/>
        <v>2.7531151091910507E-3</v>
      </c>
      <c r="BI83" s="137">
        <f>(BI63+BI104)/2</f>
        <v>2</v>
      </c>
      <c r="BJ83" s="141">
        <f t="shared" si="74"/>
        <v>1.5250781250000001E-2</v>
      </c>
    </row>
    <row r="84" spans="24:62" ht="16.5" customHeight="1">
      <c r="AH84" s="111" t="str">
        <f>AH83</f>
        <v>tra Td-3s</v>
      </c>
      <c r="AI84" s="111" t="str">
        <f>AI83</f>
        <v>tra Td-3s</v>
      </c>
      <c r="AJ84" s="111" t="str">
        <f>AJ83</f>
        <v>tra Td-3s</v>
      </c>
      <c r="AK84" s="111" t="str">
        <f t="shared" ref="AK84" si="82">AK83</f>
        <v>tra Td-3s</v>
      </c>
      <c r="AL84" s="145" t="s">
        <v>170</v>
      </c>
      <c r="AM84" s="137">
        <f>AM83</f>
        <v>2.4220000000000002</v>
      </c>
      <c r="AN84" s="138">
        <f t="shared" ref="AN84:AN140" si="83">$AH$86</f>
        <v>1</v>
      </c>
      <c r="AO84" s="141">
        <f t="shared" si="65"/>
        <v>3.0376023226619104E-2</v>
      </c>
      <c r="AP84" s="139">
        <f t="shared" si="77"/>
        <v>44.278047770884356</v>
      </c>
      <c r="AQ84" s="137">
        <f>AQ83</f>
        <v>3</v>
      </c>
      <c r="AR84" s="138">
        <f t="shared" ref="AR84:AR140" si="84">$AI$86</f>
        <v>1</v>
      </c>
      <c r="AS84" s="141">
        <f t="shared" si="66"/>
        <v>2.8086912168340947E-2</v>
      </c>
      <c r="AT84" s="139">
        <f t="shared" si="78"/>
        <v>62.813902527570264</v>
      </c>
      <c r="AU84" s="137">
        <f>AU83</f>
        <v>3</v>
      </c>
      <c r="AV84" s="138">
        <f t="shared" ref="AV84:AV140" si="85">$AJ$86</f>
        <v>1</v>
      </c>
      <c r="AW84" s="141">
        <f t="shared" si="67"/>
        <v>0.12337246437415773</v>
      </c>
      <c r="AX84" s="139">
        <f t="shared" si="79"/>
        <v>275.9116383224063</v>
      </c>
      <c r="AY84" s="137">
        <f>AY83</f>
        <v>3</v>
      </c>
      <c r="AZ84" s="138">
        <f t="shared" ref="AZ84:AZ140" si="86">$AK$86</f>
        <v>1</v>
      </c>
      <c r="BA84" s="141">
        <f t="shared" si="68"/>
        <v>0.18072805562221256</v>
      </c>
      <c r="BB84" s="139">
        <f t="shared" si="80"/>
        <v>404.18236087365239</v>
      </c>
      <c r="BC84" s="137">
        <f t="shared" si="19"/>
        <v>3</v>
      </c>
      <c r="BD84" s="138">
        <f t="shared" si="26"/>
        <v>1.8724608112227297E-2</v>
      </c>
      <c r="BE84" s="138">
        <f t="shared" si="76"/>
        <v>3</v>
      </c>
      <c r="BF84" s="138">
        <f t="shared" si="81"/>
        <v>0.05</v>
      </c>
      <c r="BG84" s="137">
        <f>BG83</f>
        <v>2</v>
      </c>
      <c r="BH84" s="141">
        <f t="shared" si="74"/>
        <v>2.7531151091910507E-3</v>
      </c>
      <c r="BI84" s="137">
        <f>BI83</f>
        <v>2</v>
      </c>
      <c r="BJ84" s="141">
        <f t="shared" si="74"/>
        <v>1.5250781250000001E-2</v>
      </c>
    </row>
    <row r="85" spans="24:62" ht="16.5" customHeight="1">
      <c r="X85" s="134"/>
      <c r="AG85" s="144" t="s">
        <v>169</v>
      </c>
      <c r="AH85" s="110">
        <f>IF(OR(AH43="0.8 Tiso",AH84="0.8 Tiso"),$E$13,$B$13)</f>
        <v>0.05</v>
      </c>
      <c r="AI85" s="110">
        <f t="shared" ref="AI85:AK85" si="87">IF(OR(AI43="0.8 Tiso",AI84="0.8 Tiso"),$E$13,$B$13)</f>
        <v>0.05</v>
      </c>
      <c r="AJ85" s="110">
        <f t="shared" si="87"/>
        <v>0.05</v>
      </c>
      <c r="AK85" s="110">
        <f t="shared" si="87"/>
        <v>0.05</v>
      </c>
      <c r="AM85" s="137">
        <f>AM83+(AM$104-AM$83)/20</f>
        <v>2.4509000000000003</v>
      </c>
      <c r="AN85" s="138">
        <f t="shared" si="83"/>
        <v>1</v>
      </c>
      <c r="AO85" s="141">
        <f t="shared" si="65"/>
        <v>2.9663883728165207E-2</v>
      </c>
      <c r="AP85" s="139">
        <f t="shared" si="77"/>
        <v>44.278047770884363</v>
      </c>
      <c r="AQ85" s="137">
        <f>AQ83+(AQ$104-AQ$83)/20</f>
        <v>3</v>
      </c>
      <c r="AR85" s="138">
        <f t="shared" si="84"/>
        <v>1</v>
      </c>
      <c r="AS85" s="141">
        <f t="shared" si="66"/>
        <v>2.8086912168340947E-2</v>
      </c>
      <c r="AT85" s="139">
        <f t="shared" si="78"/>
        <v>62.813902527570264</v>
      </c>
      <c r="AU85" s="137">
        <f>AU83+(AU$104-AU$83)/20</f>
        <v>3</v>
      </c>
      <c r="AV85" s="138">
        <f t="shared" si="85"/>
        <v>1</v>
      </c>
      <c r="AW85" s="141">
        <f t="shared" si="67"/>
        <v>0.12337246437415773</v>
      </c>
      <c r="AX85" s="139">
        <f t="shared" si="79"/>
        <v>275.9116383224063</v>
      </c>
      <c r="AY85" s="137">
        <f>AY83+(AY$104-AY$83)/20</f>
        <v>3</v>
      </c>
      <c r="AZ85" s="138">
        <f t="shared" si="86"/>
        <v>1</v>
      </c>
      <c r="BA85" s="141">
        <f t="shared" si="68"/>
        <v>0.18072805562221256</v>
      </c>
      <c r="BB85" s="139">
        <f t="shared" si="80"/>
        <v>404.18236087365239</v>
      </c>
      <c r="BC85" s="137">
        <f t="shared" si="19"/>
        <v>3</v>
      </c>
      <c r="BD85" s="138">
        <f t="shared" si="26"/>
        <v>1.8724608112227297E-2</v>
      </c>
      <c r="BE85" s="138">
        <f t="shared" si="76"/>
        <v>3</v>
      </c>
      <c r="BF85" s="138">
        <f t="shared" si="81"/>
        <v>0.05</v>
      </c>
      <c r="BG85" s="137">
        <f>BG84+($BG$104-BG$84)/20</f>
        <v>2.0499999999999998</v>
      </c>
      <c r="BH85" s="141">
        <f t="shared" si="74"/>
        <v>2.6204545953037962E-3</v>
      </c>
      <c r="BI85" s="137">
        <f>BI84+($BG$104-BI$84)/20</f>
        <v>2.0499999999999998</v>
      </c>
      <c r="BJ85" s="141">
        <f t="shared" si="74"/>
        <v>1.451591314693635E-2</v>
      </c>
    </row>
    <row r="86" spans="24:62" ht="16.5" customHeight="1">
      <c r="AG86" s="144" t="s">
        <v>12</v>
      </c>
      <c r="AH86" s="111">
        <f>IF(OR(AH43="0.8 Tiso",AH84="0.8 Tiso"),$AB$7,$AB$6)</f>
        <v>1</v>
      </c>
      <c r="AI86" s="111">
        <f t="shared" ref="AI86:AK86" si="88">IF(OR(AI43="0.8 Tiso",AI84="0.8 Tiso"),$AB$7,$AB$6)</f>
        <v>1</v>
      </c>
      <c r="AJ86" s="111">
        <f t="shared" si="88"/>
        <v>1</v>
      </c>
      <c r="AK86" s="111">
        <f t="shared" si="88"/>
        <v>1</v>
      </c>
      <c r="AM86" s="137">
        <f t="shared" ref="AM86:AM103" si="89">AM85+(AM$104-AM$83)/20</f>
        <v>2.4798000000000004</v>
      </c>
      <c r="AN86" s="138">
        <f t="shared" si="83"/>
        <v>1</v>
      </c>
      <c r="AO86" s="141">
        <f t="shared" si="65"/>
        <v>2.8976497034224884E-2</v>
      </c>
      <c r="AP86" s="139">
        <f t="shared" si="77"/>
        <v>44.278047770884363</v>
      </c>
      <c r="AQ86" s="137">
        <f t="shared" ref="AQ86:AQ103" si="90">AQ85+(AQ$104-AQ$83)/20</f>
        <v>3</v>
      </c>
      <c r="AR86" s="138">
        <f t="shared" si="84"/>
        <v>1</v>
      </c>
      <c r="AS86" s="141">
        <f t="shared" si="66"/>
        <v>2.8086912168340947E-2</v>
      </c>
      <c r="AT86" s="139">
        <f t="shared" si="78"/>
        <v>62.813902527570264</v>
      </c>
      <c r="AU86" s="137">
        <f t="shared" ref="AU86:AU103" si="91">AU85+(AU$104-AU$83)/20</f>
        <v>3</v>
      </c>
      <c r="AV86" s="138">
        <f t="shared" si="85"/>
        <v>1</v>
      </c>
      <c r="AW86" s="141">
        <f t="shared" si="67"/>
        <v>0.12337246437415773</v>
      </c>
      <c r="AX86" s="139">
        <f t="shared" si="79"/>
        <v>275.9116383224063</v>
      </c>
      <c r="AY86" s="137">
        <f t="shared" ref="AY86:AY103" si="92">AY85+(AY$104-AY$83)/20</f>
        <v>3</v>
      </c>
      <c r="AZ86" s="138">
        <f t="shared" si="86"/>
        <v>1</v>
      </c>
      <c r="BA86" s="141">
        <f t="shared" si="68"/>
        <v>0.18072805562221256</v>
      </c>
      <c r="BB86" s="139">
        <f t="shared" si="80"/>
        <v>404.18236087365239</v>
      </c>
      <c r="BC86" s="137">
        <f t="shared" si="19"/>
        <v>3</v>
      </c>
      <c r="BD86" s="138">
        <f t="shared" si="26"/>
        <v>1.8724608112227297E-2</v>
      </c>
      <c r="BE86" s="138">
        <f t="shared" si="76"/>
        <v>3</v>
      </c>
      <c r="BF86" s="138">
        <f t="shared" si="81"/>
        <v>0.05</v>
      </c>
      <c r="BG86" s="137">
        <f t="shared" ref="BG86:BG103" si="93">BG85+($BG$104-BG$84)/20</f>
        <v>2.0999999999999996</v>
      </c>
      <c r="BH86" s="141">
        <f t="shared" si="74"/>
        <v>2.4971565616245367E-3</v>
      </c>
      <c r="BI86" s="137">
        <f t="shared" ref="BI86:BI103" si="94">BI85+($BG$104-BI$84)/20</f>
        <v>2.0999999999999996</v>
      </c>
      <c r="BJ86" s="141">
        <f t="shared" si="74"/>
        <v>1.3832908163265312E-2</v>
      </c>
    </row>
    <row r="87" spans="24:62" ht="16.5" customHeight="1">
      <c r="AL87" s="111"/>
      <c r="AM87" s="137">
        <f t="shared" si="89"/>
        <v>2.5087000000000006</v>
      </c>
      <c r="AN87" s="138">
        <f t="shared" si="83"/>
        <v>1</v>
      </c>
      <c r="AO87" s="141">
        <f t="shared" si="65"/>
        <v>2.8312729140038143E-2</v>
      </c>
      <c r="AP87" s="139">
        <f t="shared" si="77"/>
        <v>44.278047770884356</v>
      </c>
      <c r="AQ87" s="137">
        <f t="shared" si="90"/>
        <v>3</v>
      </c>
      <c r="AR87" s="138">
        <f t="shared" si="84"/>
        <v>1</v>
      </c>
      <c r="AS87" s="141">
        <f t="shared" si="66"/>
        <v>2.8086912168340947E-2</v>
      </c>
      <c r="AT87" s="139">
        <f t="shared" si="78"/>
        <v>62.813902527570264</v>
      </c>
      <c r="AU87" s="137">
        <f t="shared" si="91"/>
        <v>3</v>
      </c>
      <c r="AV87" s="138">
        <f t="shared" si="85"/>
        <v>1</v>
      </c>
      <c r="AW87" s="141">
        <f t="shared" si="67"/>
        <v>0.12337246437415773</v>
      </c>
      <c r="AX87" s="139">
        <f t="shared" si="79"/>
        <v>275.9116383224063</v>
      </c>
      <c r="AY87" s="137">
        <f t="shared" si="92"/>
        <v>3</v>
      </c>
      <c r="AZ87" s="138">
        <f t="shared" si="86"/>
        <v>1</v>
      </c>
      <c r="BA87" s="141">
        <f t="shared" si="68"/>
        <v>0.18072805562221256</v>
      </c>
      <c r="BB87" s="139">
        <f t="shared" si="80"/>
        <v>404.18236087365239</v>
      </c>
      <c r="BC87" s="137">
        <f t="shared" si="19"/>
        <v>3</v>
      </c>
      <c r="BD87" s="138">
        <f t="shared" si="26"/>
        <v>1.8724608112227297E-2</v>
      </c>
      <c r="BE87" s="138">
        <f t="shared" si="76"/>
        <v>3</v>
      </c>
      <c r="BF87" s="138">
        <f t="shared" si="81"/>
        <v>0.05</v>
      </c>
      <c r="BG87" s="137">
        <f t="shared" si="93"/>
        <v>2.1499999999999995</v>
      </c>
      <c r="BH87" s="141">
        <f t="shared" si="74"/>
        <v>2.3823602891864162E-3</v>
      </c>
      <c r="BI87" s="137">
        <f t="shared" si="94"/>
        <v>2.1499999999999995</v>
      </c>
      <c r="BJ87" s="141">
        <f t="shared" si="74"/>
        <v>1.319699837750136E-2</v>
      </c>
    </row>
    <row r="88" spans="24:62" ht="16.5" customHeight="1">
      <c r="AL88" s="111"/>
      <c r="AM88" s="137">
        <f t="shared" si="89"/>
        <v>2.5376000000000007</v>
      </c>
      <c r="AN88" s="138">
        <f t="shared" si="83"/>
        <v>1</v>
      </c>
      <c r="AO88" s="141">
        <f t="shared" si="65"/>
        <v>2.7671510245258511E-2</v>
      </c>
      <c r="AP88" s="139">
        <f t="shared" si="77"/>
        <v>44.278047770884363</v>
      </c>
      <c r="AQ88" s="137">
        <f t="shared" si="90"/>
        <v>3</v>
      </c>
      <c r="AR88" s="138">
        <f t="shared" si="84"/>
        <v>1</v>
      </c>
      <c r="AS88" s="141">
        <f t="shared" si="66"/>
        <v>2.8086912168340947E-2</v>
      </c>
      <c r="AT88" s="139">
        <f t="shared" si="78"/>
        <v>62.813902527570264</v>
      </c>
      <c r="AU88" s="137">
        <f t="shared" si="91"/>
        <v>3</v>
      </c>
      <c r="AV88" s="138">
        <f t="shared" si="85"/>
        <v>1</v>
      </c>
      <c r="AW88" s="141">
        <f t="shared" si="67"/>
        <v>0.12337246437415773</v>
      </c>
      <c r="AX88" s="139">
        <f t="shared" si="79"/>
        <v>275.9116383224063</v>
      </c>
      <c r="AY88" s="137">
        <f t="shared" si="92"/>
        <v>3</v>
      </c>
      <c r="AZ88" s="138">
        <f t="shared" si="86"/>
        <v>1</v>
      </c>
      <c r="BA88" s="141">
        <f t="shared" si="68"/>
        <v>0.18072805562221256</v>
      </c>
      <c r="BB88" s="139">
        <f t="shared" si="80"/>
        <v>404.18236087365239</v>
      </c>
      <c r="BC88" s="137">
        <f t="shared" si="19"/>
        <v>3</v>
      </c>
      <c r="BD88" s="138">
        <f t="shared" si="26"/>
        <v>1.8724608112227297E-2</v>
      </c>
      <c r="BE88" s="138">
        <f t="shared" si="76"/>
        <v>3</v>
      </c>
      <c r="BF88" s="138">
        <f t="shared" si="81"/>
        <v>0.05</v>
      </c>
      <c r="BG88" s="137">
        <f t="shared" si="93"/>
        <v>2.1999999999999993</v>
      </c>
      <c r="BH88" s="141">
        <f t="shared" si="74"/>
        <v>2.275301743133101E-3</v>
      </c>
      <c r="BI88" s="137">
        <f t="shared" si="94"/>
        <v>2.1999999999999993</v>
      </c>
      <c r="BJ88" s="141">
        <f t="shared" si="74"/>
        <v>1.2603951446281E-2</v>
      </c>
    </row>
    <row r="89" spans="24:62" ht="16.5" customHeight="1">
      <c r="AL89" s="111"/>
      <c r="AM89" s="137">
        <f t="shared" si="89"/>
        <v>2.5665000000000009</v>
      </c>
      <c r="AN89" s="138">
        <f t="shared" si="83"/>
        <v>1</v>
      </c>
      <c r="AO89" s="141">
        <f t="shared" si="65"/>
        <v>2.705183044073408E-2</v>
      </c>
      <c r="AP89" s="139">
        <f t="shared" si="77"/>
        <v>44.278047770884356</v>
      </c>
      <c r="AQ89" s="137">
        <f t="shared" si="90"/>
        <v>3</v>
      </c>
      <c r="AR89" s="138">
        <f t="shared" si="84"/>
        <v>1</v>
      </c>
      <c r="AS89" s="141">
        <f t="shared" si="66"/>
        <v>2.8086912168340947E-2</v>
      </c>
      <c r="AT89" s="139">
        <f t="shared" si="78"/>
        <v>62.813902527570264</v>
      </c>
      <c r="AU89" s="137">
        <f t="shared" si="91"/>
        <v>3</v>
      </c>
      <c r="AV89" s="138">
        <f t="shared" si="85"/>
        <v>1</v>
      </c>
      <c r="AW89" s="141">
        <f t="shared" si="67"/>
        <v>0.12337246437415773</v>
      </c>
      <c r="AX89" s="139">
        <f t="shared" si="79"/>
        <v>275.9116383224063</v>
      </c>
      <c r="AY89" s="137">
        <f t="shared" si="92"/>
        <v>3</v>
      </c>
      <c r="AZ89" s="138">
        <f t="shared" si="86"/>
        <v>1</v>
      </c>
      <c r="BA89" s="141">
        <f t="shared" si="68"/>
        <v>0.18072805562221256</v>
      </c>
      <c r="BB89" s="139">
        <f t="shared" si="80"/>
        <v>404.18236087365239</v>
      </c>
      <c r="BC89" s="137">
        <f t="shared" si="19"/>
        <v>3</v>
      </c>
      <c r="BD89" s="138">
        <f t="shared" si="26"/>
        <v>1.8724608112227297E-2</v>
      </c>
      <c r="BE89" s="138">
        <f t="shared" si="76"/>
        <v>3</v>
      </c>
      <c r="BF89" s="138">
        <f t="shared" si="81"/>
        <v>0.05</v>
      </c>
      <c r="BG89" s="137">
        <f t="shared" si="93"/>
        <v>2.2499999999999991</v>
      </c>
      <c r="BH89" s="141">
        <f t="shared" si="74"/>
        <v>2.1753008270151528E-3</v>
      </c>
      <c r="BI89" s="137">
        <f t="shared" si="94"/>
        <v>2.2499999999999991</v>
      </c>
      <c r="BJ89" s="141">
        <f t="shared" si="74"/>
        <v>1.205000000000001E-2</v>
      </c>
    </row>
    <row r="90" spans="24:62" ht="16.5" customHeight="1">
      <c r="AL90" s="111"/>
      <c r="AM90" s="137">
        <f t="shared" si="89"/>
        <v>2.595400000000001</v>
      </c>
      <c r="AN90" s="138">
        <f t="shared" si="83"/>
        <v>1</v>
      </c>
      <c r="AO90" s="141">
        <f t="shared" si="65"/>
        <v>2.6452735729595035E-2</v>
      </c>
      <c r="AP90" s="139">
        <f t="shared" si="77"/>
        <v>44.278047770884356</v>
      </c>
      <c r="AQ90" s="137">
        <f t="shared" si="90"/>
        <v>3</v>
      </c>
      <c r="AR90" s="138">
        <f t="shared" si="84"/>
        <v>1</v>
      </c>
      <c r="AS90" s="141">
        <f t="shared" si="66"/>
        <v>2.8086912168340947E-2</v>
      </c>
      <c r="AT90" s="139">
        <f t="shared" si="78"/>
        <v>62.813902527570264</v>
      </c>
      <c r="AU90" s="137">
        <f t="shared" si="91"/>
        <v>3</v>
      </c>
      <c r="AV90" s="138">
        <f t="shared" si="85"/>
        <v>1</v>
      </c>
      <c r="AW90" s="141">
        <f t="shared" si="67"/>
        <v>0.12337246437415773</v>
      </c>
      <c r="AX90" s="139">
        <f t="shared" si="79"/>
        <v>275.9116383224063</v>
      </c>
      <c r="AY90" s="137">
        <f t="shared" si="92"/>
        <v>3</v>
      </c>
      <c r="AZ90" s="138">
        <f t="shared" si="86"/>
        <v>1</v>
      </c>
      <c r="BA90" s="141">
        <f t="shared" si="68"/>
        <v>0.18072805562221256</v>
      </c>
      <c r="BB90" s="139">
        <f t="shared" si="80"/>
        <v>404.18236087365239</v>
      </c>
      <c r="BC90" s="137">
        <f t="shared" si="19"/>
        <v>3</v>
      </c>
      <c r="BD90" s="138">
        <f t="shared" si="26"/>
        <v>1.8724608112227297E-2</v>
      </c>
      <c r="BE90" s="138">
        <f t="shared" si="76"/>
        <v>3</v>
      </c>
      <c r="BF90" s="138">
        <f t="shared" si="81"/>
        <v>0.05</v>
      </c>
      <c r="BG90" s="137">
        <f t="shared" si="93"/>
        <v>2.2999999999999989</v>
      </c>
      <c r="BH90" s="141">
        <f t="shared" si="74"/>
        <v>2.0817505551539157E-3</v>
      </c>
      <c r="BI90" s="137">
        <f t="shared" si="94"/>
        <v>2.2999999999999989</v>
      </c>
      <c r="BJ90" s="141">
        <f t="shared" si="74"/>
        <v>1.153178166351608E-2</v>
      </c>
    </row>
    <row r="91" spans="24:62" ht="16.5" customHeight="1">
      <c r="AL91" s="111"/>
      <c r="AM91" s="137">
        <f t="shared" si="89"/>
        <v>2.6243000000000012</v>
      </c>
      <c r="AN91" s="138">
        <f t="shared" si="83"/>
        <v>1</v>
      </c>
      <c r="AO91" s="141">
        <f t="shared" si="65"/>
        <v>2.587332435335956E-2</v>
      </c>
      <c r="AP91" s="139">
        <f t="shared" si="77"/>
        <v>44.278047770884356</v>
      </c>
      <c r="AQ91" s="137">
        <f t="shared" si="90"/>
        <v>3</v>
      </c>
      <c r="AR91" s="138">
        <f t="shared" si="84"/>
        <v>1</v>
      </c>
      <c r="AS91" s="141">
        <f t="shared" si="66"/>
        <v>2.8086912168340947E-2</v>
      </c>
      <c r="AT91" s="139">
        <f t="shared" si="78"/>
        <v>62.813902527570264</v>
      </c>
      <c r="AU91" s="137">
        <f t="shared" si="91"/>
        <v>3</v>
      </c>
      <c r="AV91" s="138">
        <f t="shared" si="85"/>
        <v>1</v>
      </c>
      <c r="AW91" s="141">
        <f t="shared" si="67"/>
        <v>0.12337246437415773</v>
      </c>
      <c r="AX91" s="139">
        <f t="shared" si="79"/>
        <v>275.9116383224063</v>
      </c>
      <c r="AY91" s="137">
        <f t="shared" si="92"/>
        <v>3</v>
      </c>
      <c r="AZ91" s="138">
        <f t="shared" si="86"/>
        <v>1</v>
      </c>
      <c r="BA91" s="141">
        <f t="shared" si="68"/>
        <v>0.18072805562221256</v>
      </c>
      <c r="BB91" s="139">
        <f t="shared" si="80"/>
        <v>404.18236087365239</v>
      </c>
      <c r="BC91" s="137">
        <f t="shared" si="19"/>
        <v>3</v>
      </c>
      <c r="BD91" s="138">
        <f t="shared" si="26"/>
        <v>1.8724608112227297E-2</v>
      </c>
      <c r="BE91" s="138">
        <f t="shared" si="76"/>
        <v>3</v>
      </c>
      <c r="BF91" s="138">
        <f t="shared" si="81"/>
        <v>0.05</v>
      </c>
      <c r="BG91" s="137">
        <f t="shared" si="93"/>
        <v>2.3499999999999988</v>
      </c>
      <c r="BH91" s="141">
        <f t="shared" si="74"/>
        <v>1.9941078201474358E-3</v>
      </c>
      <c r="BI91" s="137">
        <f t="shared" si="94"/>
        <v>2.3499999999999988</v>
      </c>
      <c r="BJ91" s="141">
        <f t="shared" si="74"/>
        <v>1.1046287913082856E-2</v>
      </c>
    </row>
    <row r="92" spans="24:62" ht="16.5" customHeight="1">
      <c r="AL92" s="111"/>
      <c r="AM92" s="137">
        <f t="shared" si="89"/>
        <v>2.6532000000000013</v>
      </c>
      <c r="AN92" s="138">
        <f t="shared" si="83"/>
        <v>1</v>
      </c>
      <c r="AO92" s="141">
        <f t="shared" si="65"/>
        <v>2.5312743396625047E-2</v>
      </c>
      <c r="AP92" s="139">
        <f t="shared" si="77"/>
        <v>44.278047770884356</v>
      </c>
      <c r="AQ92" s="137">
        <f t="shared" si="90"/>
        <v>3</v>
      </c>
      <c r="AR92" s="138">
        <f t="shared" si="84"/>
        <v>1</v>
      </c>
      <c r="AS92" s="141">
        <f t="shared" si="66"/>
        <v>2.8086912168340947E-2</v>
      </c>
      <c r="AT92" s="139">
        <f t="shared" si="78"/>
        <v>62.813902527570264</v>
      </c>
      <c r="AU92" s="137">
        <f t="shared" si="91"/>
        <v>3</v>
      </c>
      <c r="AV92" s="138">
        <f t="shared" si="85"/>
        <v>1</v>
      </c>
      <c r="AW92" s="141">
        <f t="shared" si="67"/>
        <v>0.12337246437415773</v>
      </c>
      <c r="AX92" s="139">
        <f t="shared" si="79"/>
        <v>275.9116383224063</v>
      </c>
      <c r="AY92" s="137">
        <f t="shared" si="92"/>
        <v>3</v>
      </c>
      <c r="AZ92" s="138">
        <f t="shared" si="86"/>
        <v>1</v>
      </c>
      <c r="BA92" s="141">
        <f t="shared" si="68"/>
        <v>0.18072805562221256</v>
      </c>
      <c r="BB92" s="139">
        <f t="shared" si="80"/>
        <v>404.18236087365239</v>
      </c>
      <c r="BC92" s="137">
        <f t="shared" si="19"/>
        <v>3</v>
      </c>
      <c r="BD92" s="138">
        <f t="shared" si="26"/>
        <v>1.8724608112227297E-2</v>
      </c>
      <c r="BE92" s="138">
        <f t="shared" si="76"/>
        <v>3</v>
      </c>
      <c r="BF92" s="138">
        <f t="shared" si="81"/>
        <v>0.05</v>
      </c>
      <c r="BG92" s="137">
        <f t="shared" si="93"/>
        <v>2.3999999999999986</v>
      </c>
      <c r="BH92" s="141">
        <f t="shared" si="74"/>
        <v>1.9118854924937874E-3</v>
      </c>
      <c r="BI92" s="137">
        <f t="shared" si="94"/>
        <v>2.3999999999999986</v>
      </c>
      <c r="BJ92" s="141">
        <f t="shared" si="74"/>
        <v>1.0590820312500013E-2</v>
      </c>
    </row>
    <row r="93" spans="24:62" ht="16.5" customHeight="1">
      <c r="AL93" s="111"/>
      <c r="AM93" s="137">
        <f t="shared" si="89"/>
        <v>2.6821000000000015</v>
      </c>
      <c r="AN93" s="138">
        <f t="shared" si="83"/>
        <v>1</v>
      </c>
      <c r="AO93" s="141">
        <f t="shared" si="65"/>
        <v>2.4770185646461249E-2</v>
      </c>
      <c r="AP93" s="139">
        <f t="shared" si="77"/>
        <v>44.278047770884356</v>
      </c>
      <c r="AQ93" s="137">
        <f t="shared" si="90"/>
        <v>3</v>
      </c>
      <c r="AR93" s="138">
        <f t="shared" si="84"/>
        <v>1</v>
      </c>
      <c r="AS93" s="141">
        <f t="shared" si="66"/>
        <v>2.8086912168340947E-2</v>
      </c>
      <c r="AT93" s="139">
        <f t="shared" si="78"/>
        <v>62.813902527570264</v>
      </c>
      <c r="AU93" s="137">
        <f t="shared" si="91"/>
        <v>3</v>
      </c>
      <c r="AV93" s="138">
        <f t="shared" si="85"/>
        <v>1</v>
      </c>
      <c r="AW93" s="141">
        <f t="shared" si="67"/>
        <v>0.12337246437415773</v>
      </c>
      <c r="AX93" s="139">
        <f t="shared" si="79"/>
        <v>275.9116383224063</v>
      </c>
      <c r="AY93" s="137">
        <f t="shared" si="92"/>
        <v>3</v>
      </c>
      <c r="AZ93" s="138">
        <f t="shared" si="86"/>
        <v>1</v>
      </c>
      <c r="BA93" s="141">
        <f t="shared" si="68"/>
        <v>0.18072805562221256</v>
      </c>
      <c r="BB93" s="139">
        <f t="shared" si="80"/>
        <v>404.18236087365239</v>
      </c>
      <c r="BC93" s="137">
        <f t="shared" si="19"/>
        <v>3</v>
      </c>
      <c r="BD93" s="138">
        <f t="shared" si="26"/>
        <v>1.8724608112227297E-2</v>
      </c>
      <c r="BE93" s="138">
        <f t="shared" si="76"/>
        <v>3</v>
      </c>
      <c r="BF93" s="138">
        <f t="shared" si="81"/>
        <v>0.05</v>
      </c>
      <c r="BG93" s="137">
        <f t="shared" si="93"/>
        <v>2.4499999999999984</v>
      </c>
      <c r="BH93" s="141">
        <f t="shared" si="74"/>
        <v>1.8346456371119062E-3</v>
      </c>
      <c r="BI93" s="137">
        <f t="shared" si="94"/>
        <v>2.4499999999999984</v>
      </c>
      <c r="BJ93" s="141">
        <f t="shared" si="74"/>
        <v>1.0162952936276564E-2</v>
      </c>
    </row>
    <row r="94" spans="24:62" ht="16.5" customHeight="1">
      <c r="AL94" s="111"/>
      <c r="AM94" s="137">
        <f t="shared" si="89"/>
        <v>2.7110000000000016</v>
      </c>
      <c r="AN94" s="138">
        <f t="shared" si="83"/>
        <v>1</v>
      </c>
      <c r="AO94" s="141">
        <f t="shared" si="65"/>
        <v>2.4244886684900758E-2</v>
      </c>
      <c r="AP94" s="139">
        <f t="shared" si="77"/>
        <v>44.278047770884356</v>
      </c>
      <c r="AQ94" s="137">
        <f t="shared" si="90"/>
        <v>3</v>
      </c>
      <c r="AR94" s="138">
        <f t="shared" si="84"/>
        <v>1</v>
      </c>
      <c r="AS94" s="141">
        <f t="shared" si="66"/>
        <v>2.8086912168340947E-2</v>
      </c>
      <c r="AT94" s="139">
        <f t="shared" si="78"/>
        <v>62.813902527570264</v>
      </c>
      <c r="AU94" s="137">
        <f t="shared" si="91"/>
        <v>3</v>
      </c>
      <c r="AV94" s="138">
        <f t="shared" si="85"/>
        <v>1</v>
      </c>
      <c r="AW94" s="141">
        <f t="shared" si="67"/>
        <v>0.12337246437415773</v>
      </c>
      <c r="AX94" s="139">
        <f t="shared" si="79"/>
        <v>275.9116383224063</v>
      </c>
      <c r="AY94" s="137">
        <f t="shared" si="92"/>
        <v>3</v>
      </c>
      <c r="AZ94" s="138">
        <f t="shared" si="86"/>
        <v>1</v>
      </c>
      <c r="BA94" s="141">
        <f t="shared" si="68"/>
        <v>0.18072805562221256</v>
      </c>
      <c r="BB94" s="139">
        <f t="shared" si="80"/>
        <v>404.18236087365239</v>
      </c>
      <c r="BC94" s="137">
        <f t="shared" si="19"/>
        <v>3</v>
      </c>
      <c r="BD94" s="138">
        <f t="shared" si="26"/>
        <v>1.8724608112227297E-2</v>
      </c>
      <c r="BE94" s="138">
        <f t="shared" si="76"/>
        <v>3</v>
      </c>
      <c r="BF94" s="138">
        <f t="shared" si="81"/>
        <v>0.05</v>
      </c>
      <c r="BG94" s="137">
        <f t="shared" si="93"/>
        <v>2.4999999999999982</v>
      </c>
      <c r="BH94" s="141">
        <f t="shared" si="74"/>
        <v>1.761993669882275E-3</v>
      </c>
      <c r="BI94" s="137">
        <f t="shared" si="94"/>
        <v>2.4999999999999982</v>
      </c>
      <c r="BJ94" s="141">
        <f t="shared" si="74"/>
        <v>9.760500000000014E-3</v>
      </c>
    </row>
    <row r="95" spans="24:62" ht="16.5" customHeight="1">
      <c r="AL95" s="111"/>
      <c r="AM95" s="137">
        <f t="shared" si="89"/>
        <v>2.7399000000000018</v>
      </c>
      <c r="AN95" s="138">
        <f t="shared" si="83"/>
        <v>1</v>
      </c>
      <c r="AO95" s="141">
        <f t="shared" si="65"/>
        <v>2.3736122194962454E-2</v>
      </c>
      <c r="AP95" s="139">
        <f t="shared" si="77"/>
        <v>44.278047770884363</v>
      </c>
      <c r="AQ95" s="137">
        <f t="shared" si="90"/>
        <v>3</v>
      </c>
      <c r="AR95" s="138">
        <f t="shared" si="84"/>
        <v>1</v>
      </c>
      <c r="AS95" s="141">
        <f t="shared" si="66"/>
        <v>2.8086912168340947E-2</v>
      </c>
      <c r="AT95" s="139">
        <f t="shared" si="78"/>
        <v>62.813902527570264</v>
      </c>
      <c r="AU95" s="137">
        <f t="shared" si="91"/>
        <v>3</v>
      </c>
      <c r="AV95" s="138">
        <f t="shared" si="85"/>
        <v>1</v>
      </c>
      <c r="AW95" s="141">
        <f t="shared" si="67"/>
        <v>0.12337246437415773</v>
      </c>
      <c r="AX95" s="139">
        <f t="shared" si="79"/>
        <v>275.9116383224063</v>
      </c>
      <c r="AY95" s="137">
        <f t="shared" si="92"/>
        <v>3</v>
      </c>
      <c r="AZ95" s="138">
        <f t="shared" si="86"/>
        <v>1</v>
      </c>
      <c r="BA95" s="141">
        <f t="shared" si="68"/>
        <v>0.18072805562221256</v>
      </c>
      <c r="BB95" s="139">
        <f t="shared" si="80"/>
        <v>404.18236087365239</v>
      </c>
      <c r="BC95" s="137">
        <f t="shared" si="19"/>
        <v>3</v>
      </c>
      <c r="BD95" s="138">
        <f t="shared" si="26"/>
        <v>1.8724608112227297E-2</v>
      </c>
      <c r="BE95" s="138">
        <f t="shared" si="76"/>
        <v>3</v>
      </c>
      <c r="BF95" s="138">
        <f t="shared" si="81"/>
        <v>0.05</v>
      </c>
      <c r="BG95" s="137">
        <f t="shared" si="93"/>
        <v>2.549999999999998</v>
      </c>
      <c r="BH95" s="141">
        <f t="shared" si="74"/>
        <v>1.6935733082297916E-3</v>
      </c>
      <c r="BI95" s="137">
        <f t="shared" si="94"/>
        <v>2.549999999999998</v>
      </c>
      <c r="BJ95" s="141">
        <f t="shared" si="74"/>
        <v>9.3814878892733728E-3</v>
      </c>
    </row>
    <row r="96" spans="24:62" ht="16.5" customHeight="1">
      <c r="AL96" s="111"/>
      <c r="AM96" s="137">
        <f t="shared" si="89"/>
        <v>2.7688000000000019</v>
      </c>
      <c r="AN96" s="138">
        <f t="shared" si="83"/>
        <v>1</v>
      </c>
      <c r="AO96" s="141">
        <f t="shared" si="65"/>
        <v>2.3243205462471443E-2</v>
      </c>
      <c r="AP96" s="139">
        <f t="shared" si="77"/>
        <v>44.278047770884363</v>
      </c>
      <c r="AQ96" s="137">
        <f t="shared" si="90"/>
        <v>3</v>
      </c>
      <c r="AR96" s="138">
        <f t="shared" si="84"/>
        <v>1</v>
      </c>
      <c r="AS96" s="141">
        <f t="shared" si="66"/>
        <v>2.8086912168340947E-2</v>
      </c>
      <c r="AT96" s="139">
        <f t="shared" si="78"/>
        <v>62.813902527570264</v>
      </c>
      <c r="AU96" s="137">
        <f t="shared" si="91"/>
        <v>3</v>
      </c>
      <c r="AV96" s="138">
        <f t="shared" si="85"/>
        <v>1</v>
      </c>
      <c r="AW96" s="141">
        <f t="shared" si="67"/>
        <v>0.12337246437415773</v>
      </c>
      <c r="AX96" s="139">
        <f t="shared" si="79"/>
        <v>275.9116383224063</v>
      </c>
      <c r="AY96" s="137">
        <f t="shared" si="92"/>
        <v>3</v>
      </c>
      <c r="AZ96" s="138">
        <f t="shared" si="86"/>
        <v>1</v>
      </c>
      <c r="BA96" s="141">
        <f t="shared" si="68"/>
        <v>0.18072805562221256</v>
      </c>
      <c r="BB96" s="139">
        <f t="shared" si="80"/>
        <v>404.18236087365239</v>
      </c>
      <c r="BC96" s="137">
        <f t="shared" si="19"/>
        <v>3</v>
      </c>
      <c r="BD96" s="138">
        <f t="shared" si="26"/>
        <v>1.8724608112227297E-2</v>
      </c>
      <c r="BE96" s="138">
        <f t="shared" si="76"/>
        <v>3</v>
      </c>
      <c r="BF96" s="138">
        <f t="shared" si="81"/>
        <v>0.05</v>
      </c>
      <c r="BG96" s="137">
        <f t="shared" si="93"/>
        <v>2.5999999999999979</v>
      </c>
      <c r="BH96" s="141">
        <f t="shared" si="74"/>
        <v>1.6290621947876065E-3</v>
      </c>
      <c r="BI96" s="137">
        <f t="shared" si="94"/>
        <v>2.5999999999999979</v>
      </c>
      <c r="BJ96" s="141">
        <f t="shared" si="74"/>
        <v>9.0241309171597787E-3</v>
      </c>
    </row>
    <row r="97" spans="32:62" ht="16.5" customHeight="1">
      <c r="AL97" s="111"/>
      <c r="AM97" s="137">
        <f t="shared" si="89"/>
        <v>2.7977000000000021</v>
      </c>
      <c r="AN97" s="138">
        <f t="shared" si="83"/>
        <v>1</v>
      </c>
      <c r="AO97" s="141">
        <f t="shared" si="65"/>
        <v>2.276548505757961E-2</v>
      </c>
      <c r="AP97" s="139">
        <f t="shared" si="77"/>
        <v>44.278047770884363</v>
      </c>
      <c r="AQ97" s="137">
        <f t="shared" si="90"/>
        <v>3</v>
      </c>
      <c r="AR97" s="138">
        <f t="shared" si="84"/>
        <v>1</v>
      </c>
      <c r="AS97" s="141">
        <f t="shared" si="66"/>
        <v>2.8086912168340947E-2</v>
      </c>
      <c r="AT97" s="139">
        <f t="shared" si="78"/>
        <v>62.813902527570264</v>
      </c>
      <c r="AU97" s="137">
        <f t="shared" si="91"/>
        <v>3</v>
      </c>
      <c r="AV97" s="138">
        <f t="shared" si="85"/>
        <v>1</v>
      </c>
      <c r="AW97" s="141">
        <f t="shared" si="67"/>
        <v>0.12337246437415773</v>
      </c>
      <c r="AX97" s="139">
        <f t="shared" si="79"/>
        <v>275.9116383224063</v>
      </c>
      <c r="AY97" s="137">
        <f t="shared" si="92"/>
        <v>3</v>
      </c>
      <c r="AZ97" s="138">
        <f t="shared" si="86"/>
        <v>1</v>
      </c>
      <c r="BA97" s="141">
        <f t="shared" si="68"/>
        <v>0.18072805562221256</v>
      </c>
      <c r="BB97" s="139">
        <f t="shared" si="80"/>
        <v>404.18236087365239</v>
      </c>
      <c r="BC97" s="137">
        <f t="shared" si="19"/>
        <v>3</v>
      </c>
      <c r="BD97" s="138">
        <f t="shared" si="26"/>
        <v>1.8724608112227297E-2</v>
      </c>
      <c r="BE97" s="138">
        <f t="shared" si="76"/>
        <v>3</v>
      </c>
      <c r="BF97" s="138">
        <f t="shared" si="81"/>
        <v>0.05</v>
      </c>
      <c r="BG97" s="137">
        <f t="shared" si="93"/>
        <v>2.6499999999999977</v>
      </c>
      <c r="BH97" s="141">
        <f t="shared" si="74"/>
        <v>1.5681680935228511E-3</v>
      </c>
      <c r="BI97" s="137">
        <f t="shared" si="94"/>
        <v>2.6499999999999977</v>
      </c>
      <c r="BJ97" s="141">
        <f t="shared" si="74"/>
        <v>8.6868102527590044E-3</v>
      </c>
    </row>
    <row r="98" spans="32:62" ht="16.5" customHeight="1">
      <c r="AL98" s="111"/>
      <c r="AM98" s="137">
        <f t="shared" si="89"/>
        <v>2.8266000000000022</v>
      </c>
      <c r="AN98" s="138">
        <f t="shared" si="83"/>
        <v>1</v>
      </c>
      <c r="AO98" s="141">
        <f t="shared" si="65"/>
        <v>2.2302342681364135E-2</v>
      </c>
      <c r="AP98" s="139">
        <f t="shared" si="77"/>
        <v>44.278047770884356</v>
      </c>
      <c r="AQ98" s="137">
        <f t="shared" si="90"/>
        <v>3</v>
      </c>
      <c r="AR98" s="138">
        <f t="shared" si="84"/>
        <v>1</v>
      </c>
      <c r="AS98" s="141">
        <f t="shared" si="66"/>
        <v>2.8086912168340947E-2</v>
      </c>
      <c r="AT98" s="139">
        <f t="shared" si="78"/>
        <v>62.813902527570264</v>
      </c>
      <c r="AU98" s="137">
        <f t="shared" si="91"/>
        <v>3</v>
      </c>
      <c r="AV98" s="138">
        <f t="shared" si="85"/>
        <v>1</v>
      </c>
      <c r="AW98" s="141">
        <f t="shared" si="67"/>
        <v>0.12337246437415773</v>
      </c>
      <c r="AX98" s="139">
        <f t="shared" si="79"/>
        <v>275.9116383224063</v>
      </c>
      <c r="AY98" s="137">
        <f t="shared" si="92"/>
        <v>3</v>
      </c>
      <c r="AZ98" s="138">
        <f t="shared" si="86"/>
        <v>1</v>
      </c>
      <c r="BA98" s="141">
        <f t="shared" si="68"/>
        <v>0.18072805562221256</v>
      </c>
      <c r="BB98" s="139">
        <f t="shared" si="80"/>
        <v>404.18236087365239</v>
      </c>
      <c r="BC98" s="137">
        <f t="shared" si="19"/>
        <v>3</v>
      </c>
      <c r="BD98" s="138">
        <f t="shared" si="26"/>
        <v>1.8724608112227297E-2</v>
      </c>
      <c r="BE98" s="138">
        <f t="shared" si="76"/>
        <v>3</v>
      </c>
      <c r="BF98" s="138">
        <f t="shared" si="81"/>
        <v>0.05</v>
      </c>
      <c r="BG98" s="137">
        <f t="shared" si="93"/>
        <v>2.6999999999999975</v>
      </c>
      <c r="BH98" s="141">
        <f t="shared" si="74"/>
        <v>1.51062557431608E-3</v>
      </c>
      <c r="BI98" s="137">
        <f t="shared" si="94"/>
        <v>2.6999999999999975</v>
      </c>
      <c r="BJ98" s="141">
        <f t="shared" si="74"/>
        <v>8.3680555555555713E-3</v>
      </c>
    </row>
    <row r="99" spans="32:62" ht="16.5" customHeight="1">
      <c r="AL99" s="111"/>
      <c r="AM99" s="137">
        <f t="shared" si="89"/>
        <v>2.8555000000000024</v>
      </c>
      <c r="AN99" s="138">
        <f t="shared" si="83"/>
        <v>1</v>
      </c>
      <c r="AO99" s="141">
        <f t="shared" si="65"/>
        <v>2.1853191164206569E-2</v>
      </c>
      <c r="AP99" s="139">
        <f t="shared" si="77"/>
        <v>44.278047770884356</v>
      </c>
      <c r="AQ99" s="137">
        <f t="shared" si="90"/>
        <v>3</v>
      </c>
      <c r="AR99" s="138">
        <f t="shared" si="84"/>
        <v>1</v>
      </c>
      <c r="AS99" s="141">
        <f t="shared" si="66"/>
        <v>2.8086912168340947E-2</v>
      </c>
      <c r="AT99" s="139">
        <f t="shared" si="78"/>
        <v>62.813902527570264</v>
      </c>
      <c r="AU99" s="137">
        <f t="shared" si="91"/>
        <v>3</v>
      </c>
      <c r="AV99" s="138">
        <f t="shared" si="85"/>
        <v>1</v>
      </c>
      <c r="AW99" s="141">
        <f t="shared" si="67"/>
        <v>0.12337246437415773</v>
      </c>
      <c r="AX99" s="139">
        <f t="shared" si="79"/>
        <v>275.9116383224063</v>
      </c>
      <c r="AY99" s="137">
        <f t="shared" si="92"/>
        <v>3</v>
      </c>
      <c r="AZ99" s="138">
        <f t="shared" si="86"/>
        <v>1</v>
      </c>
      <c r="BA99" s="141">
        <f t="shared" si="68"/>
        <v>0.18072805562221256</v>
      </c>
      <c r="BB99" s="139">
        <f t="shared" si="80"/>
        <v>404.18236087365239</v>
      </c>
      <c r="BC99" s="137">
        <f t="shared" si="19"/>
        <v>3</v>
      </c>
      <c r="BD99" s="138">
        <f t="shared" si="26"/>
        <v>1.8724608112227297E-2</v>
      </c>
      <c r="BE99" s="138">
        <f t="shared" si="76"/>
        <v>3</v>
      </c>
      <c r="BF99" s="138">
        <f t="shared" si="81"/>
        <v>0.05</v>
      </c>
      <c r="BG99" s="137">
        <f t="shared" si="93"/>
        <v>2.7499999999999973</v>
      </c>
      <c r="BH99" s="141">
        <f t="shared" si="74"/>
        <v>1.4561931156051866E-3</v>
      </c>
      <c r="BI99" s="137">
        <f t="shared" si="94"/>
        <v>2.7499999999999973</v>
      </c>
      <c r="BJ99" s="141">
        <f t="shared" si="74"/>
        <v>8.0665289256198498E-3</v>
      </c>
    </row>
    <row r="100" spans="32:62" ht="16.5" customHeight="1">
      <c r="AL100" s="111"/>
      <c r="AM100" s="137">
        <f t="shared" si="89"/>
        <v>2.8844000000000025</v>
      </c>
      <c r="AN100" s="138">
        <f t="shared" si="83"/>
        <v>1</v>
      </c>
      <c r="AO100" s="141">
        <f t="shared" si="65"/>
        <v>2.1417472603848006E-2</v>
      </c>
      <c r="AP100" s="139">
        <f t="shared" si="77"/>
        <v>44.278047770884363</v>
      </c>
      <c r="AQ100" s="137">
        <f t="shared" si="90"/>
        <v>3</v>
      </c>
      <c r="AR100" s="138">
        <f t="shared" si="84"/>
        <v>1</v>
      </c>
      <c r="AS100" s="141">
        <f t="shared" si="66"/>
        <v>2.8086912168340947E-2</v>
      </c>
      <c r="AT100" s="139">
        <f t="shared" si="78"/>
        <v>62.813902527570264</v>
      </c>
      <c r="AU100" s="137">
        <f t="shared" si="91"/>
        <v>3</v>
      </c>
      <c r="AV100" s="138">
        <f t="shared" si="85"/>
        <v>1</v>
      </c>
      <c r="AW100" s="141">
        <f t="shared" si="67"/>
        <v>0.12337246437415773</v>
      </c>
      <c r="AX100" s="139">
        <f t="shared" si="79"/>
        <v>275.9116383224063</v>
      </c>
      <c r="AY100" s="137">
        <f t="shared" si="92"/>
        <v>3</v>
      </c>
      <c r="AZ100" s="138">
        <f t="shared" si="86"/>
        <v>1</v>
      </c>
      <c r="BA100" s="141">
        <f t="shared" si="68"/>
        <v>0.18072805562221256</v>
      </c>
      <c r="BB100" s="139">
        <f t="shared" si="80"/>
        <v>404.18236087365239</v>
      </c>
      <c r="BC100" s="137">
        <f t="shared" si="19"/>
        <v>3</v>
      </c>
      <c r="BD100" s="138">
        <f t="shared" si="26"/>
        <v>1.8724608112227297E-2</v>
      </c>
      <c r="BE100" s="138">
        <f t="shared" si="76"/>
        <v>3</v>
      </c>
      <c r="BF100" s="138">
        <f t="shared" si="81"/>
        <v>0.05</v>
      </c>
      <c r="BG100" s="137">
        <f t="shared" si="93"/>
        <v>2.7999999999999972</v>
      </c>
      <c r="BH100" s="141">
        <f t="shared" si="74"/>
        <v>1.4046505659138042E-3</v>
      </c>
      <c r="BI100" s="137">
        <f t="shared" si="94"/>
        <v>2.7999999999999972</v>
      </c>
      <c r="BJ100" s="141">
        <f t="shared" si="74"/>
        <v>7.781010841836751E-3</v>
      </c>
    </row>
    <row r="101" spans="32:62" ht="16.5" customHeight="1">
      <c r="AL101" s="111"/>
      <c r="AM101" s="137">
        <f t="shared" si="89"/>
        <v>2.9133000000000027</v>
      </c>
      <c r="AN101" s="138">
        <f t="shared" si="83"/>
        <v>1</v>
      </c>
      <c r="AO101" s="141">
        <f t="shared" si="65"/>
        <v>2.099465663209123E-2</v>
      </c>
      <c r="AP101" s="139">
        <f t="shared" si="77"/>
        <v>44.278047770884356</v>
      </c>
      <c r="AQ101" s="137">
        <f t="shared" si="90"/>
        <v>3</v>
      </c>
      <c r="AR101" s="138">
        <f t="shared" si="84"/>
        <v>1</v>
      </c>
      <c r="AS101" s="141">
        <f t="shared" si="66"/>
        <v>2.8086912168340947E-2</v>
      </c>
      <c r="AT101" s="139">
        <f t="shared" si="78"/>
        <v>62.813902527570264</v>
      </c>
      <c r="AU101" s="137">
        <f t="shared" si="91"/>
        <v>3</v>
      </c>
      <c r="AV101" s="138">
        <f t="shared" si="85"/>
        <v>1</v>
      </c>
      <c r="AW101" s="141">
        <f t="shared" si="67"/>
        <v>0.12337246437415773</v>
      </c>
      <c r="AX101" s="139">
        <f t="shared" si="79"/>
        <v>275.9116383224063</v>
      </c>
      <c r="AY101" s="137">
        <f t="shared" si="92"/>
        <v>3</v>
      </c>
      <c r="AZ101" s="138">
        <f t="shared" si="86"/>
        <v>1</v>
      </c>
      <c r="BA101" s="141">
        <f t="shared" si="68"/>
        <v>0.18072805562221256</v>
      </c>
      <c r="BB101" s="139">
        <f t="shared" si="80"/>
        <v>404.18236087365239</v>
      </c>
      <c r="BC101" s="137">
        <f t="shared" si="19"/>
        <v>3</v>
      </c>
      <c r="BD101" s="138">
        <f t="shared" si="26"/>
        <v>1.8724608112227297E-2</v>
      </c>
      <c r="BE101" s="138">
        <f t="shared" si="76"/>
        <v>3</v>
      </c>
      <c r="BF101" s="138">
        <f t="shared" si="81"/>
        <v>0.05</v>
      </c>
      <c r="BG101" s="137">
        <f t="shared" si="93"/>
        <v>2.849999999999997</v>
      </c>
      <c r="BH101" s="141">
        <f t="shared" si="74"/>
        <v>1.3557969143446261E-3</v>
      </c>
      <c r="BI101" s="137">
        <f t="shared" si="94"/>
        <v>2.849999999999997</v>
      </c>
      <c r="BJ101" s="141">
        <f t="shared" si="74"/>
        <v>7.5103878116343659E-3</v>
      </c>
    </row>
    <row r="102" spans="32:62" ht="16.5" customHeight="1">
      <c r="AL102" s="111"/>
      <c r="AM102" s="137">
        <f t="shared" si="89"/>
        <v>2.9422000000000028</v>
      </c>
      <c r="AN102" s="138">
        <f t="shared" si="83"/>
        <v>1</v>
      </c>
      <c r="AO102" s="141">
        <f t="shared" si="65"/>
        <v>2.0584238800090776E-2</v>
      </c>
      <c r="AP102" s="139">
        <f t="shared" si="77"/>
        <v>44.278047770884356</v>
      </c>
      <c r="AQ102" s="137">
        <f t="shared" si="90"/>
        <v>3</v>
      </c>
      <c r="AR102" s="138">
        <f t="shared" si="84"/>
        <v>1</v>
      </c>
      <c r="AS102" s="141">
        <f t="shared" si="66"/>
        <v>2.8086912168340947E-2</v>
      </c>
      <c r="AT102" s="139">
        <f t="shared" si="78"/>
        <v>62.813902527570264</v>
      </c>
      <c r="AU102" s="137">
        <f t="shared" si="91"/>
        <v>3</v>
      </c>
      <c r="AV102" s="138">
        <f t="shared" si="85"/>
        <v>1</v>
      </c>
      <c r="AW102" s="141">
        <f t="shared" si="67"/>
        <v>0.12337246437415773</v>
      </c>
      <c r="AX102" s="139">
        <f t="shared" si="79"/>
        <v>275.9116383224063</v>
      </c>
      <c r="AY102" s="137">
        <f t="shared" si="92"/>
        <v>3</v>
      </c>
      <c r="AZ102" s="138">
        <f t="shared" si="86"/>
        <v>1</v>
      </c>
      <c r="BA102" s="141">
        <f t="shared" si="68"/>
        <v>0.18072805562221256</v>
      </c>
      <c r="BB102" s="139">
        <f t="shared" si="80"/>
        <v>404.18236087365239</v>
      </c>
      <c r="BC102" s="137">
        <f t="shared" si="19"/>
        <v>3</v>
      </c>
      <c r="BD102" s="138">
        <f t="shared" si="26"/>
        <v>1.8724608112227297E-2</v>
      </c>
      <c r="BE102" s="138">
        <f t="shared" si="76"/>
        <v>3</v>
      </c>
      <c r="BF102" s="138">
        <f t="shared" si="81"/>
        <v>0.05</v>
      </c>
      <c r="BG102" s="137">
        <f t="shared" si="93"/>
        <v>2.8999999999999968</v>
      </c>
      <c r="BH102" s="141">
        <f t="shared" si="74"/>
        <v>1.3094483277959843E-3</v>
      </c>
      <c r="BI102" s="137">
        <f t="shared" si="94"/>
        <v>2.8999999999999968</v>
      </c>
      <c r="BJ102" s="141">
        <f t="shared" si="74"/>
        <v>7.2536414982164264E-3</v>
      </c>
    </row>
    <row r="103" spans="32:62" ht="16.5" customHeight="1">
      <c r="AL103" s="111"/>
      <c r="AM103" s="137">
        <f t="shared" si="89"/>
        <v>2.971100000000003</v>
      </c>
      <c r="AN103" s="138">
        <f t="shared" si="83"/>
        <v>1</v>
      </c>
      <c r="AO103" s="141">
        <f t="shared" si="65"/>
        <v>2.0185739073048194E-2</v>
      </c>
      <c r="AP103" s="139">
        <f t="shared" si="77"/>
        <v>44.278047770884356</v>
      </c>
      <c r="AQ103" s="137">
        <f t="shared" si="90"/>
        <v>3</v>
      </c>
      <c r="AR103" s="138">
        <f t="shared" si="84"/>
        <v>1</v>
      </c>
      <c r="AS103" s="141">
        <f t="shared" si="66"/>
        <v>2.8086912168340947E-2</v>
      </c>
      <c r="AT103" s="139">
        <f t="shared" si="78"/>
        <v>62.813902527570264</v>
      </c>
      <c r="AU103" s="137">
        <f t="shared" si="91"/>
        <v>3</v>
      </c>
      <c r="AV103" s="138">
        <f t="shared" si="85"/>
        <v>1</v>
      </c>
      <c r="AW103" s="141">
        <f t="shared" si="67"/>
        <v>0.12337246437415773</v>
      </c>
      <c r="AX103" s="139">
        <f t="shared" si="79"/>
        <v>275.9116383224063</v>
      </c>
      <c r="AY103" s="137">
        <f t="shared" si="92"/>
        <v>3</v>
      </c>
      <c r="AZ103" s="138">
        <f t="shared" si="86"/>
        <v>1</v>
      </c>
      <c r="BA103" s="141">
        <f t="shared" si="68"/>
        <v>0.18072805562221256</v>
      </c>
      <c r="BB103" s="139">
        <f t="shared" si="80"/>
        <v>404.18236087365239</v>
      </c>
      <c r="BC103" s="137">
        <f t="shared" si="19"/>
        <v>3</v>
      </c>
      <c r="BD103" s="138">
        <f t="shared" si="26"/>
        <v>1.8724608112227297E-2</v>
      </c>
      <c r="BE103" s="138">
        <f t="shared" si="76"/>
        <v>3</v>
      </c>
      <c r="BF103" s="138">
        <f t="shared" si="81"/>
        <v>0.05</v>
      </c>
      <c r="BG103" s="137">
        <f t="shared" si="93"/>
        <v>2.9499999999999966</v>
      </c>
      <c r="BH103" s="141">
        <f t="shared" si="74"/>
        <v>1.2654364190478862E-3</v>
      </c>
      <c r="BI103" s="137">
        <f t="shared" si="94"/>
        <v>2.9499999999999966</v>
      </c>
      <c r="BJ103" s="141">
        <f t="shared" si="74"/>
        <v>7.0098391266877509E-3</v>
      </c>
    </row>
    <row r="104" spans="32:62" ht="16.5" customHeight="1">
      <c r="AL104" s="111" t="s">
        <v>171</v>
      </c>
      <c r="AM104" s="137">
        <f>MAX(3,AM63)</f>
        <v>3</v>
      </c>
      <c r="AN104" s="138">
        <f t="shared" si="83"/>
        <v>1</v>
      </c>
      <c r="AO104" s="141">
        <f t="shared" si="65"/>
        <v>1.9798700425922081E-2</v>
      </c>
      <c r="AP104" s="139">
        <f t="shared" si="77"/>
        <v>44.278047770884356</v>
      </c>
      <c r="AQ104" s="137">
        <f>MAX(3,AQ63)</f>
        <v>3</v>
      </c>
      <c r="AR104" s="138">
        <f t="shared" si="84"/>
        <v>1</v>
      </c>
      <c r="AS104" s="141">
        <f t="shared" si="66"/>
        <v>2.8086912168340947E-2</v>
      </c>
      <c r="AT104" s="139">
        <f t="shared" si="78"/>
        <v>62.813902527570264</v>
      </c>
      <c r="AU104" s="137">
        <f>MAX(3,AU63)</f>
        <v>3</v>
      </c>
      <c r="AV104" s="138">
        <f t="shared" si="85"/>
        <v>1</v>
      </c>
      <c r="AW104" s="141">
        <f t="shared" si="67"/>
        <v>0.12337246437415773</v>
      </c>
      <c r="AX104" s="139">
        <f t="shared" si="79"/>
        <v>275.9116383224063</v>
      </c>
      <c r="AY104" s="137">
        <f>MAX(3,AY63)</f>
        <v>3</v>
      </c>
      <c r="AZ104" s="138">
        <f t="shared" si="86"/>
        <v>1</v>
      </c>
      <c r="BA104" s="141">
        <f t="shared" si="68"/>
        <v>0.18072805562221256</v>
      </c>
      <c r="BB104" s="139">
        <f t="shared" si="80"/>
        <v>404.18236087365239</v>
      </c>
      <c r="BC104" s="137">
        <f t="shared" si="19"/>
        <v>3</v>
      </c>
      <c r="BD104" s="138">
        <f t="shared" si="26"/>
        <v>1.8724608112227297E-2</v>
      </c>
      <c r="BE104" s="138">
        <f t="shared" si="76"/>
        <v>3</v>
      </c>
      <c r="BF104" s="138">
        <f t="shared" si="81"/>
        <v>0.05</v>
      </c>
      <c r="BG104" s="137">
        <v>3</v>
      </c>
      <c r="BH104" s="141">
        <f t="shared" si="74"/>
        <v>1.2236067151960225E-3</v>
      </c>
      <c r="BI104" s="137">
        <v>3</v>
      </c>
      <c r="BJ104" s="141">
        <f t="shared" si="74"/>
        <v>6.7781250000000003E-3</v>
      </c>
    </row>
    <row r="105" spans="32:62" ht="16.5" customHeight="1">
      <c r="AL105" s="111"/>
      <c r="AM105" s="137">
        <f>AM104+(AM$130-AM$104)/26</f>
        <v>3.1153846153846154</v>
      </c>
      <c r="AN105" s="138">
        <f t="shared" si="83"/>
        <v>1</v>
      </c>
      <c r="AO105" s="141">
        <f t="shared" si="65"/>
        <v>1.8359288735148596E-2</v>
      </c>
      <c r="AP105" s="139">
        <f t="shared" si="77"/>
        <v>44.278047770884356</v>
      </c>
      <c r="AQ105" s="137">
        <f>AQ104+(AQ$130-AQ$104)/26</f>
        <v>3.1153846153846154</v>
      </c>
      <c r="AR105" s="138">
        <f t="shared" si="84"/>
        <v>1</v>
      </c>
      <c r="AS105" s="141">
        <f t="shared" si="66"/>
        <v>2.6044928156102168E-2</v>
      </c>
      <c r="AT105" s="139">
        <f t="shared" si="78"/>
        <v>62.813902527570278</v>
      </c>
      <c r="AU105" s="137">
        <f>AU104+(AU$130-AU$104)/26</f>
        <v>3.1153846153846154</v>
      </c>
      <c r="AV105" s="138">
        <f t="shared" si="85"/>
        <v>1</v>
      </c>
      <c r="AW105" s="141">
        <f t="shared" si="67"/>
        <v>0.11440299851430813</v>
      </c>
      <c r="AX105" s="139">
        <f t="shared" si="79"/>
        <v>275.9116383224063</v>
      </c>
      <c r="AY105" s="137">
        <f>AY104+(AY$130-AY$104)/26</f>
        <v>3.1153846153846154</v>
      </c>
      <c r="AZ105" s="138">
        <f t="shared" si="86"/>
        <v>1</v>
      </c>
      <c r="BA105" s="141">
        <f t="shared" si="68"/>
        <v>0.16758870452759356</v>
      </c>
      <c r="BB105" s="139">
        <f t="shared" si="80"/>
        <v>404.18236087365244</v>
      </c>
      <c r="BC105" s="137">
        <f t="shared" si="19"/>
        <v>3.1153846153846154</v>
      </c>
      <c r="BD105" s="138">
        <f t="shared" si="26"/>
        <v>1.7363285437401444E-2</v>
      </c>
      <c r="BE105" s="138">
        <f t="shared" si="76"/>
        <v>3.1153846153846154</v>
      </c>
      <c r="BF105" s="138">
        <f t="shared" si="81"/>
        <v>0.05</v>
      </c>
      <c r="BG105" s="137"/>
      <c r="BH105" s="138"/>
      <c r="BI105" s="137"/>
      <c r="BJ105" s="138"/>
    </row>
    <row r="106" spans="32:62" ht="16.5" customHeight="1">
      <c r="AM106" s="137">
        <f t="shared" ref="AM106:AM129" si="95">AM105+(AM$130-AM$104)/26</f>
        <v>3.2307692307692308</v>
      </c>
      <c r="AN106" s="138">
        <f t="shared" si="83"/>
        <v>1</v>
      </c>
      <c r="AO106" s="141">
        <f t="shared" si="65"/>
        <v>1.7071328428473628E-2</v>
      </c>
      <c r="AP106" s="139">
        <f t="shared" si="77"/>
        <v>44.278047770884356</v>
      </c>
      <c r="AQ106" s="137">
        <f t="shared" ref="AQ106:AQ129" si="96">AQ105+(AQ$130-AQ$104)/26</f>
        <v>3.2307692307692308</v>
      </c>
      <c r="AR106" s="138">
        <f t="shared" si="84"/>
        <v>1</v>
      </c>
      <c r="AS106" s="141">
        <f t="shared" si="66"/>
        <v>2.4217796716579691E-2</v>
      </c>
      <c r="AT106" s="139">
        <f t="shared" si="78"/>
        <v>62.813902527570278</v>
      </c>
      <c r="AU106" s="137">
        <f t="shared" ref="AU106:AU129" si="97">AU105+(AU$130-AU$104)/26</f>
        <v>3.2307692307692308</v>
      </c>
      <c r="AV106" s="138">
        <f t="shared" si="85"/>
        <v>1</v>
      </c>
      <c r="AW106" s="141">
        <f t="shared" si="67"/>
        <v>0.10637727795526865</v>
      </c>
      <c r="AX106" s="139">
        <f t="shared" si="79"/>
        <v>275.9116383224063</v>
      </c>
      <c r="AY106" s="137">
        <f t="shared" ref="AY106:AY129" si="98">AY105+(AY$130-AY$104)/26</f>
        <v>3.2307692307692308</v>
      </c>
      <c r="AZ106" s="138">
        <f t="shared" si="86"/>
        <v>1</v>
      </c>
      <c r="BA106" s="141">
        <f t="shared" si="68"/>
        <v>0.15583184387833632</v>
      </c>
      <c r="BB106" s="139">
        <f t="shared" si="80"/>
        <v>404.18236087365239</v>
      </c>
      <c r="BC106" s="137">
        <f t="shared" si="19"/>
        <v>3.2307692307692308</v>
      </c>
      <c r="BD106" s="138">
        <f t="shared" si="26"/>
        <v>1.6145197811053127E-2</v>
      </c>
      <c r="BE106" s="138">
        <f t="shared" si="76"/>
        <v>3.2307692307692308</v>
      </c>
      <c r="BF106" s="138">
        <f t="shared" si="81"/>
        <v>0.05</v>
      </c>
      <c r="BG106" s="137"/>
      <c r="BH106" s="138"/>
      <c r="BI106" s="137"/>
      <c r="BJ106" s="138"/>
    </row>
    <row r="107" spans="32:62" ht="16.5" customHeight="1">
      <c r="AL107" s="111"/>
      <c r="AM107" s="137">
        <f t="shared" si="95"/>
        <v>3.3461538461538463</v>
      </c>
      <c r="AN107" s="138">
        <f t="shared" si="83"/>
        <v>1</v>
      </c>
      <c r="AO107" s="141">
        <f t="shared" si="65"/>
        <v>1.591429427814902E-2</v>
      </c>
      <c r="AP107" s="139">
        <f t="shared" si="77"/>
        <v>44.27804777088437</v>
      </c>
      <c r="AQ107" s="137">
        <f t="shared" si="96"/>
        <v>3.3461538461538463</v>
      </c>
      <c r="AR107" s="138">
        <f t="shared" si="84"/>
        <v>1</v>
      </c>
      <c r="AS107" s="141">
        <f t="shared" si="66"/>
        <v>2.2576400268488082E-2</v>
      </c>
      <c r="AT107" s="139">
        <f t="shared" si="78"/>
        <v>62.813902527570278</v>
      </c>
      <c r="AU107" s="137">
        <f t="shared" si="97"/>
        <v>3.3461538461538463</v>
      </c>
      <c r="AV107" s="138">
        <f t="shared" si="85"/>
        <v>1</v>
      </c>
      <c r="AW107" s="141">
        <f t="shared" si="67"/>
        <v>9.9167402992783135E-2</v>
      </c>
      <c r="AX107" s="139">
        <f t="shared" si="79"/>
        <v>275.9116383224063</v>
      </c>
      <c r="AY107" s="137">
        <f t="shared" si="98"/>
        <v>3.3461538461538463</v>
      </c>
      <c r="AZ107" s="138">
        <f t="shared" si="86"/>
        <v>1</v>
      </c>
      <c r="BA107" s="141">
        <f t="shared" si="68"/>
        <v>0.14527011367492945</v>
      </c>
      <c r="BB107" s="139">
        <f t="shared" si="80"/>
        <v>404.18236087365239</v>
      </c>
      <c r="BC107" s="137">
        <f t="shared" si="19"/>
        <v>3.3461538461538463</v>
      </c>
      <c r="BD107" s="138">
        <f t="shared" si="26"/>
        <v>1.5050933512325388E-2</v>
      </c>
      <c r="BE107" s="138">
        <f t="shared" si="76"/>
        <v>3.3461538461538463</v>
      </c>
      <c r="BF107" s="138">
        <f t="shared" si="81"/>
        <v>0.05</v>
      </c>
      <c r="BG107" s="137"/>
      <c r="BH107" s="138"/>
      <c r="BI107" s="137"/>
      <c r="BJ107" s="138"/>
    </row>
    <row r="108" spans="32:62" ht="16.5" customHeight="1">
      <c r="AF108" s="133"/>
      <c r="AL108" s="111"/>
      <c r="AM108" s="137">
        <f t="shared" si="95"/>
        <v>3.4615384615384617</v>
      </c>
      <c r="AN108" s="138">
        <f t="shared" si="83"/>
        <v>1</v>
      </c>
      <c r="AO108" s="141">
        <f t="shared" si="65"/>
        <v>1.4871023875470362E-2</v>
      </c>
      <c r="AP108" s="139">
        <f t="shared" si="77"/>
        <v>44.278047770884356</v>
      </c>
      <c r="AQ108" s="137">
        <f t="shared" si="96"/>
        <v>3.4615384615384617</v>
      </c>
      <c r="AR108" s="138">
        <f t="shared" si="84"/>
        <v>1</v>
      </c>
      <c r="AS108" s="141">
        <f t="shared" si="66"/>
        <v>2.1096391806442755E-2</v>
      </c>
      <c r="AT108" s="139">
        <f t="shared" si="78"/>
        <v>62.813902527570278</v>
      </c>
      <c r="AU108" s="137">
        <f t="shared" si="97"/>
        <v>3.4615384615384617</v>
      </c>
      <c r="AV108" s="138">
        <f t="shared" si="85"/>
        <v>1</v>
      </c>
      <c r="AW108" s="141">
        <f t="shared" si="67"/>
        <v>9.2666428796589581E-2</v>
      </c>
      <c r="AX108" s="139">
        <f t="shared" si="79"/>
        <v>275.9116383224063</v>
      </c>
      <c r="AY108" s="137">
        <f t="shared" si="98"/>
        <v>3.4615384615384617</v>
      </c>
      <c r="AZ108" s="138">
        <f t="shared" si="86"/>
        <v>1</v>
      </c>
      <c r="BA108" s="141">
        <f t="shared" si="68"/>
        <v>0.13574685066735076</v>
      </c>
      <c r="BB108" s="139">
        <f t="shared" si="80"/>
        <v>404.18236087365239</v>
      </c>
      <c r="BC108" s="137">
        <f t="shared" si="19"/>
        <v>3.4615384615384617</v>
      </c>
      <c r="BD108" s="138">
        <f t="shared" si="26"/>
        <v>1.4064261204295171E-2</v>
      </c>
      <c r="BE108" s="138">
        <f t="shared" si="76"/>
        <v>3.4615384615384617</v>
      </c>
      <c r="BF108" s="138">
        <f t="shared" si="81"/>
        <v>0.05</v>
      </c>
      <c r="BG108" s="137"/>
      <c r="BH108" s="138"/>
      <c r="BI108" s="137"/>
      <c r="BJ108" s="138"/>
    </row>
    <row r="109" spans="32:62" ht="16.5" customHeight="1">
      <c r="AL109" s="111"/>
      <c r="AM109" s="137">
        <f t="shared" si="95"/>
        <v>3.5769230769230771</v>
      </c>
      <c r="AN109" s="138">
        <f t="shared" si="83"/>
        <v>1</v>
      </c>
      <c r="AO109" s="141">
        <f t="shared" si="65"/>
        <v>1.3927077510846332E-2</v>
      </c>
      <c r="AP109" s="139">
        <f t="shared" si="77"/>
        <v>44.278047770884356</v>
      </c>
      <c r="AQ109" s="137">
        <f t="shared" si="96"/>
        <v>3.5769230769230771</v>
      </c>
      <c r="AR109" s="138">
        <f t="shared" si="84"/>
        <v>1</v>
      </c>
      <c r="AS109" s="141">
        <f t="shared" si="66"/>
        <v>1.9757286811444827E-2</v>
      </c>
      <c r="AT109" s="139">
        <f t="shared" si="78"/>
        <v>62.813902527570278</v>
      </c>
      <c r="AU109" s="137">
        <f t="shared" si="97"/>
        <v>3.5769230769230771</v>
      </c>
      <c r="AV109" s="138">
        <f t="shared" si="85"/>
        <v>1</v>
      </c>
      <c r="AW109" s="141">
        <f t="shared" si="67"/>
        <v>8.6784376604506358E-2</v>
      </c>
      <c r="AX109" s="139">
        <f t="shared" si="79"/>
        <v>275.9116383224063</v>
      </c>
      <c r="AY109" s="137">
        <f t="shared" si="98"/>
        <v>3.5769230769230771</v>
      </c>
      <c r="AZ109" s="138">
        <f t="shared" si="86"/>
        <v>1</v>
      </c>
      <c r="BA109" s="141">
        <f t="shared" si="68"/>
        <v>0.12713024516193097</v>
      </c>
      <c r="BB109" s="139">
        <f t="shared" si="80"/>
        <v>404.18236087365233</v>
      </c>
      <c r="BC109" s="137">
        <f t="shared" si="19"/>
        <v>3.5769230769230771</v>
      </c>
      <c r="BD109" s="138">
        <f t="shared" si="26"/>
        <v>1.3171524540963217E-2</v>
      </c>
      <c r="BE109" s="138">
        <f t="shared" si="76"/>
        <v>3.5769230769230771</v>
      </c>
      <c r="BF109" s="138">
        <f t="shared" si="81"/>
        <v>0.05</v>
      </c>
      <c r="BG109" s="137"/>
      <c r="BH109" s="138"/>
      <c r="BI109" s="137"/>
      <c r="BJ109" s="138"/>
    </row>
    <row r="110" spans="32:62" ht="16.5" customHeight="1">
      <c r="AL110" s="111"/>
      <c r="AM110" s="137">
        <f t="shared" si="95"/>
        <v>3.6923076923076925</v>
      </c>
      <c r="AN110" s="138">
        <f t="shared" si="83"/>
        <v>1</v>
      </c>
      <c r="AO110" s="141">
        <f t="shared" si="65"/>
        <v>1.3070235828050121E-2</v>
      </c>
      <c r="AP110" s="139">
        <f t="shared" si="77"/>
        <v>44.278047770884356</v>
      </c>
      <c r="AQ110" s="137">
        <f t="shared" si="96"/>
        <v>3.6923076923076925</v>
      </c>
      <c r="AR110" s="138">
        <f t="shared" si="84"/>
        <v>1</v>
      </c>
      <c r="AS110" s="141">
        <f t="shared" si="66"/>
        <v>1.8541750611131325E-2</v>
      </c>
      <c r="AT110" s="139">
        <f t="shared" si="78"/>
        <v>62.813902527570278</v>
      </c>
      <c r="AU110" s="137">
        <f t="shared" si="97"/>
        <v>3.6923076923076925</v>
      </c>
      <c r="AV110" s="138">
        <f t="shared" si="85"/>
        <v>1</v>
      </c>
      <c r="AW110" s="141">
        <f t="shared" si="67"/>
        <v>8.144510343450255E-2</v>
      </c>
      <c r="AX110" s="139">
        <f t="shared" si="79"/>
        <v>275.9116383224063</v>
      </c>
      <c r="AY110" s="137">
        <f t="shared" si="98"/>
        <v>3.6923076923076925</v>
      </c>
      <c r="AZ110" s="138">
        <f t="shared" si="86"/>
        <v>1</v>
      </c>
      <c r="BA110" s="141">
        <f t="shared" si="68"/>
        <v>0.11930875546935124</v>
      </c>
      <c r="BB110" s="139">
        <f t="shared" si="80"/>
        <v>404.18236087365244</v>
      </c>
      <c r="BC110" s="137">
        <f t="shared" si="19"/>
        <v>3.6923076923076925</v>
      </c>
      <c r="BD110" s="138">
        <f t="shared" si="26"/>
        <v>1.236116707408755E-2</v>
      </c>
      <c r="BE110" s="138">
        <f t="shared" si="76"/>
        <v>3.6923076923076925</v>
      </c>
      <c r="BF110" s="138">
        <f t="shared" si="81"/>
        <v>0.05</v>
      </c>
      <c r="BG110" s="137"/>
      <c r="BH110" s="138"/>
      <c r="BI110" s="137"/>
      <c r="BJ110" s="138"/>
    </row>
    <row r="111" spans="32:62" ht="16.5" customHeight="1">
      <c r="AL111" s="111"/>
      <c r="AM111" s="137">
        <f t="shared" si="95"/>
        <v>3.8076923076923079</v>
      </c>
      <c r="AN111" s="138">
        <f t="shared" si="83"/>
        <v>1</v>
      </c>
      <c r="AO111" s="141">
        <f t="shared" si="65"/>
        <v>1.2290102376421787E-2</v>
      </c>
      <c r="AP111" s="139">
        <f t="shared" si="77"/>
        <v>44.278047770884363</v>
      </c>
      <c r="AQ111" s="137">
        <f t="shared" si="96"/>
        <v>3.8076923076923079</v>
      </c>
      <c r="AR111" s="138">
        <f t="shared" si="84"/>
        <v>1</v>
      </c>
      <c r="AS111" s="141">
        <f t="shared" si="66"/>
        <v>1.7435034550779136E-2</v>
      </c>
      <c r="AT111" s="139">
        <f t="shared" si="78"/>
        <v>62.813902527570278</v>
      </c>
      <c r="AU111" s="137">
        <f t="shared" si="97"/>
        <v>3.8076923076923079</v>
      </c>
      <c r="AV111" s="138">
        <f t="shared" si="85"/>
        <v>1</v>
      </c>
      <c r="AW111" s="141">
        <f t="shared" si="67"/>
        <v>7.6583825451726928E-2</v>
      </c>
      <c r="AX111" s="139">
        <f t="shared" si="79"/>
        <v>275.91163832240636</v>
      </c>
      <c r="AY111" s="137">
        <f t="shared" si="98"/>
        <v>3.8076923076923079</v>
      </c>
      <c r="AZ111" s="138">
        <f t="shared" si="86"/>
        <v>1</v>
      </c>
      <c r="BA111" s="141">
        <f t="shared" si="68"/>
        <v>0.11218747989037252</v>
      </c>
      <c r="BB111" s="139">
        <f t="shared" si="80"/>
        <v>404.18236087365239</v>
      </c>
      <c r="BC111" s="137">
        <f t="shared" si="19"/>
        <v>3.8076923076923079</v>
      </c>
      <c r="BD111" s="138">
        <f t="shared" si="26"/>
        <v>1.162335636718609E-2</v>
      </c>
      <c r="BE111" s="138">
        <f t="shared" si="76"/>
        <v>3.8076923076923079</v>
      </c>
      <c r="BF111" s="138">
        <f t="shared" si="81"/>
        <v>0.05</v>
      </c>
      <c r="BG111" s="137"/>
      <c r="BH111" s="138"/>
      <c r="BI111" s="137"/>
      <c r="BJ111" s="138"/>
    </row>
    <row r="112" spans="32:62" ht="16.5" customHeight="1">
      <c r="AL112" s="111"/>
      <c r="AM112" s="137">
        <f t="shared" si="95"/>
        <v>3.9230769230769234</v>
      </c>
      <c r="AN112" s="138">
        <f t="shared" si="83"/>
        <v>1</v>
      </c>
      <c r="AO112" s="141">
        <f t="shared" si="65"/>
        <v>1.1577786754258931E-2</v>
      </c>
      <c r="AP112" s="139">
        <f t="shared" si="77"/>
        <v>44.278047770884356</v>
      </c>
      <c r="AQ112" s="137">
        <f t="shared" si="96"/>
        <v>3.9230769230769234</v>
      </c>
      <c r="AR112" s="138">
        <f t="shared" si="84"/>
        <v>1</v>
      </c>
      <c r="AS112" s="141">
        <f t="shared" si="66"/>
        <v>1.6424526492905257E-2</v>
      </c>
      <c r="AT112" s="139">
        <f t="shared" si="78"/>
        <v>62.813902527570264</v>
      </c>
      <c r="AU112" s="137">
        <f t="shared" si="97"/>
        <v>3.9230769230769234</v>
      </c>
      <c r="AV112" s="138">
        <f t="shared" si="85"/>
        <v>1</v>
      </c>
      <c r="AW112" s="141">
        <f t="shared" si="67"/>
        <v>7.2145143526756592E-2</v>
      </c>
      <c r="AX112" s="139">
        <f t="shared" si="79"/>
        <v>275.9116383224063</v>
      </c>
      <c r="AY112" s="137">
        <f t="shared" si="98"/>
        <v>3.9230769230769234</v>
      </c>
      <c r="AZ112" s="138">
        <f t="shared" si="86"/>
        <v>1</v>
      </c>
      <c r="BA112" s="141">
        <f t="shared" si="68"/>
        <v>0.10568526436039419</v>
      </c>
      <c r="BB112" s="139">
        <f t="shared" si="80"/>
        <v>404.18236087365244</v>
      </c>
      <c r="BC112" s="137">
        <f t="shared" si="19"/>
        <v>3.9230769230769234</v>
      </c>
      <c r="BD112" s="138">
        <f t="shared" si="26"/>
        <v>1.0949684328603505E-2</v>
      </c>
      <c r="BE112" s="138">
        <f t="shared" si="76"/>
        <v>3.9230769230769234</v>
      </c>
      <c r="BF112" s="138">
        <f t="shared" si="81"/>
        <v>0.05</v>
      </c>
      <c r="BG112" s="137"/>
      <c r="BH112" s="138"/>
      <c r="BI112" s="137"/>
      <c r="BJ112" s="138"/>
    </row>
    <row r="113" spans="37:62" ht="16.5" customHeight="1">
      <c r="AL113" s="111"/>
      <c r="AM113" s="137">
        <f t="shared" si="95"/>
        <v>4.0384615384615383</v>
      </c>
      <c r="AN113" s="138">
        <f t="shared" si="83"/>
        <v>1</v>
      </c>
      <c r="AO113" s="141">
        <f t="shared" si="65"/>
        <v>1.0925650194223124E-2</v>
      </c>
      <c r="AP113" s="139">
        <f t="shared" si="77"/>
        <v>44.278047770884356</v>
      </c>
      <c r="AQ113" s="137">
        <f t="shared" si="96"/>
        <v>4.0384615384615383</v>
      </c>
      <c r="AR113" s="138">
        <f t="shared" si="84"/>
        <v>1</v>
      </c>
      <c r="AS113" s="141">
        <f t="shared" si="66"/>
        <v>1.5499389898611006E-2</v>
      </c>
      <c r="AT113" s="139">
        <f t="shared" si="78"/>
        <v>62.813902527570278</v>
      </c>
      <c r="AU113" s="137">
        <f t="shared" si="97"/>
        <v>4.0384615384615383</v>
      </c>
      <c r="AV113" s="138">
        <f t="shared" si="85"/>
        <v>1</v>
      </c>
      <c r="AW113" s="141">
        <f t="shared" si="67"/>
        <v>6.8081457891371946E-2</v>
      </c>
      <c r="AX113" s="139">
        <f t="shared" si="79"/>
        <v>275.9116383224063</v>
      </c>
      <c r="AY113" s="137">
        <f t="shared" si="98"/>
        <v>4.0384615384615383</v>
      </c>
      <c r="AZ113" s="138">
        <f t="shared" si="86"/>
        <v>1</v>
      </c>
      <c r="BA113" s="141">
        <f t="shared" si="68"/>
        <v>9.9732380082135266E-2</v>
      </c>
      <c r="BB113" s="139">
        <f t="shared" si="80"/>
        <v>404.18236087365239</v>
      </c>
      <c r="BC113" s="137">
        <f t="shared" si="19"/>
        <v>4.0384615384615383</v>
      </c>
      <c r="BD113" s="138">
        <f t="shared" si="26"/>
        <v>1.0332926599074003E-2</v>
      </c>
      <c r="BE113" s="138">
        <f t="shared" si="76"/>
        <v>4.0384615384615383</v>
      </c>
      <c r="BF113" s="138">
        <f t="shared" si="81"/>
        <v>0.05</v>
      </c>
      <c r="BG113" s="137"/>
      <c r="BH113" s="138"/>
      <c r="BI113" s="137"/>
      <c r="BJ113" s="138"/>
    </row>
    <row r="114" spans="37:62" ht="16.5" customHeight="1">
      <c r="AL114" s="111"/>
      <c r="AM114" s="137">
        <f t="shared" si="95"/>
        <v>4.1538461538461533</v>
      </c>
      <c r="AN114" s="138">
        <f t="shared" si="83"/>
        <v>1</v>
      </c>
      <c r="AO114" s="141">
        <f t="shared" si="65"/>
        <v>1.0327099913521088E-2</v>
      </c>
      <c r="AP114" s="139">
        <f t="shared" si="77"/>
        <v>44.278047770884356</v>
      </c>
      <c r="AQ114" s="137">
        <f t="shared" si="96"/>
        <v>4.1538461538461533</v>
      </c>
      <c r="AR114" s="138">
        <f t="shared" si="84"/>
        <v>1</v>
      </c>
      <c r="AS114" s="141">
        <f t="shared" si="66"/>
        <v>1.4650272087807472E-2</v>
      </c>
      <c r="AT114" s="139">
        <f t="shared" si="78"/>
        <v>62.813902527570278</v>
      </c>
      <c r="AU114" s="137">
        <f t="shared" si="97"/>
        <v>4.1538461538461533</v>
      </c>
      <c r="AV114" s="138">
        <f t="shared" si="85"/>
        <v>1</v>
      </c>
      <c r="AW114" s="141">
        <f t="shared" si="67"/>
        <v>6.435168666429833E-2</v>
      </c>
      <c r="AX114" s="139">
        <f t="shared" si="79"/>
        <v>275.9116383224063</v>
      </c>
      <c r="AY114" s="137">
        <f t="shared" si="98"/>
        <v>4.1538461538461533</v>
      </c>
      <c r="AZ114" s="138">
        <f t="shared" si="86"/>
        <v>1</v>
      </c>
      <c r="BA114" s="141">
        <f t="shared" si="68"/>
        <v>9.4268646296771383E-2</v>
      </c>
      <c r="BB114" s="139">
        <f t="shared" si="80"/>
        <v>404.18236087365239</v>
      </c>
      <c r="BC114" s="137">
        <f t="shared" si="19"/>
        <v>4.1538461538461533</v>
      </c>
      <c r="BD114" s="138">
        <f t="shared" si="26"/>
        <v>9.7668480585383147E-3</v>
      </c>
      <c r="BE114" s="138">
        <f t="shared" si="76"/>
        <v>4.1538461538461533</v>
      </c>
      <c r="BF114" s="138">
        <f t="shared" si="81"/>
        <v>0.05</v>
      </c>
      <c r="BG114" s="137"/>
      <c r="BH114" s="138"/>
      <c r="BI114" s="137"/>
      <c r="BJ114" s="138"/>
    </row>
    <row r="115" spans="37:62" ht="16.5" customHeight="1">
      <c r="AL115" s="111"/>
      <c r="AM115" s="137">
        <f t="shared" si="95"/>
        <v>4.2692307692307683</v>
      </c>
      <c r="AN115" s="138">
        <f t="shared" si="83"/>
        <v>1</v>
      </c>
      <c r="AO115" s="141">
        <f t="shared" si="65"/>
        <v>9.7764218319381542E-3</v>
      </c>
      <c r="AP115" s="139">
        <f t="shared" si="77"/>
        <v>44.278047770884363</v>
      </c>
      <c r="AQ115" s="137">
        <f t="shared" si="96"/>
        <v>4.2692307692307683</v>
      </c>
      <c r="AR115" s="138">
        <f t="shared" si="84"/>
        <v>1</v>
      </c>
      <c r="AS115" s="141">
        <f t="shared" si="66"/>
        <v>1.3869066928998166E-2</v>
      </c>
      <c r="AT115" s="139">
        <f t="shared" si="78"/>
        <v>62.813902527570278</v>
      </c>
      <c r="AU115" s="137">
        <f t="shared" si="97"/>
        <v>4.2692307692307683</v>
      </c>
      <c r="AV115" s="138">
        <f t="shared" si="85"/>
        <v>1</v>
      </c>
      <c r="AW115" s="141">
        <f t="shared" si="67"/>
        <v>6.0920223460139269E-2</v>
      </c>
      <c r="AX115" s="139">
        <f t="shared" si="79"/>
        <v>275.9116383224063</v>
      </c>
      <c r="AY115" s="137">
        <f t="shared" si="98"/>
        <v>4.2692307692307683</v>
      </c>
      <c r="AZ115" s="138">
        <f t="shared" si="86"/>
        <v>1</v>
      </c>
      <c r="BA115" s="141">
        <f t="shared" si="68"/>
        <v>8.924190328752063E-2</v>
      </c>
      <c r="BB115" s="139">
        <f t="shared" si="80"/>
        <v>404.18236087365239</v>
      </c>
      <c r="BC115" s="137">
        <f t="shared" si="19"/>
        <v>4.2692307692307683</v>
      </c>
      <c r="BD115" s="138">
        <f t="shared" si="26"/>
        <v>9.24604461933211E-3</v>
      </c>
      <c r="BE115" s="138">
        <f t="shared" si="76"/>
        <v>4.2692307692307683</v>
      </c>
      <c r="BF115" s="138">
        <f t="shared" si="81"/>
        <v>0.05</v>
      </c>
      <c r="BG115" s="137"/>
      <c r="BH115" s="138"/>
      <c r="BI115" s="137"/>
      <c r="BJ115" s="138"/>
    </row>
    <row r="116" spans="37:62" ht="16.5" customHeight="1">
      <c r="AL116" s="111"/>
      <c r="AM116" s="137">
        <f t="shared" si="95"/>
        <v>4.3846153846153832</v>
      </c>
      <c r="AN116" s="138">
        <f t="shared" si="83"/>
        <v>1</v>
      </c>
      <c r="AO116" s="141">
        <f t="shared" si="65"/>
        <v>9.2686436896976011E-3</v>
      </c>
      <c r="AP116" s="139">
        <f t="shared" si="77"/>
        <v>44.278047770884363</v>
      </c>
      <c r="AQ116" s="137">
        <f t="shared" si="96"/>
        <v>4.3846153846153832</v>
      </c>
      <c r="AR116" s="138">
        <f t="shared" si="84"/>
        <v>1</v>
      </c>
      <c r="AS116" s="141">
        <f t="shared" si="66"/>
        <v>1.3148720654985105E-2</v>
      </c>
      <c r="AT116" s="139">
        <f t="shared" si="78"/>
        <v>62.813902527570278</v>
      </c>
      <c r="AU116" s="137">
        <f t="shared" si="97"/>
        <v>4.3846153846153832</v>
      </c>
      <c r="AV116" s="138">
        <f t="shared" si="85"/>
        <v>1</v>
      </c>
      <c r="AW116" s="141">
        <f t="shared" si="67"/>
        <v>5.7756084430007397E-2</v>
      </c>
      <c r="AX116" s="139">
        <f t="shared" si="79"/>
        <v>275.9116383224063</v>
      </c>
      <c r="AY116" s="137">
        <f t="shared" si="98"/>
        <v>4.3846153846153832</v>
      </c>
      <c r="AZ116" s="138">
        <f t="shared" si="86"/>
        <v>1</v>
      </c>
      <c r="BA116" s="141">
        <f t="shared" si="68"/>
        <v>8.4606762881312858E-2</v>
      </c>
      <c r="BB116" s="139">
        <f t="shared" si="80"/>
        <v>404.18236087365244</v>
      </c>
      <c r="BC116" s="137">
        <f t="shared" si="19"/>
        <v>4.3846153846153832</v>
      </c>
      <c r="BD116" s="138">
        <f t="shared" si="26"/>
        <v>8.7658137699900707E-3</v>
      </c>
      <c r="BE116" s="138">
        <f t="shared" si="76"/>
        <v>4.3846153846153832</v>
      </c>
      <c r="BF116" s="138">
        <f t="shared" si="81"/>
        <v>0.05</v>
      </c>
      <c r="BG116" s="137"/>
      <c r="BH116" s="138"/>
      <c r="BI116" s="137"/>
      <c r="BJ116" s="138"/>
    </row>
    <row r="117" spans="37:62" ht="16.5" customHeight="1">
      <c r="AL117" s="111"/>
      <c r="AM117" s="137">
        <f t="shared" si="95"/>
        <v>4.4999999999999982</v>
      </c>
      <c r="AN117" s="138">
        <f t="shared" si="83"/>
        <v>1</v>
      </c>
      <c r="AO117" s="141">
        <f t="shared" si="65"/>
        <v>8.7994224115209314E-3</v>
      </c>
      <c r="AP117" s="139">
        <f t="shared" si="77"/>
        <v>44.278047770884363</v>
      </c>
      <c r="AQ117" s="137">
        <f t="shared" si="96"/>
        <v>4.4999999999999982</v>
      </c>
      <c r="AR117" s="138">
        <f t="shared" si="84"/>
        <v>1</v>
      </c>
      <c r="AS117" s="141">
        <f t="shared" si="66"/>
        <v>1.2483072074818207E-2</v>
      </c>
      <c r="AT117" s="139">
        <f t="shared" si="78"/>
        <v>62.813902527570278</v>
      </c>
      <c r="AU117" s="137">
        <f t="shared" si="97"/>
        <v>4.4999999999999982</v>
      </c>
      <c r="AV117" s="138">
        <f t="shared" si="85"/>
        <v>1</v>
      </c>
      <c r="AW117" s="141">
        <f t="shared" si="67"/>
        <v>5.4832206388514583E-2</v>
      </c>
      <c r="AX117" s="139">
        <f t="shared" si="79"/>
        <v>275.9116383224063</v>
      </c>
      <c r="AY117" s="137">
        <f t="shared" si="98"/>
        <v>4.4999999999999982</v>
      </c>
      <c r="AZ117" s="138">
        <f t="shared" si="86"/>
        <v>1</v>
      </c>
      <c r="BA117" s="141">
        <f t="shared" si="68"/>
        <v>8.0323580276538978E-2</v>
      </c>
      <c r="BB117" s="139">
        <f t="shared" si="80"/>
        <v>404.18236087365239</v>
      </c>
      <c r="BC117" s="137">
        <f t="shared" ref="BC117:BC140" si="99">AQ117</f>
        <v>4.4999999999999982</v>
      </c>
      <c r="BD117" s="138">
        <f t="shared" si="26"/>
        <v>8.3220480498788045E-3</v>
      </c>
      <c r="BE117" s="138">
        <f t="shared" si="76"/>
        <v>4.4999999999999982</v>
      </c>
      <c r="BF117" s="138">
        <f t="shared" si="81"/>
        <v>0.05</v>
      </c>
      <c r="BG117" s="137"/>
      <c r="BH117" s="138"/>
      <c r="BI117" s="137"/>
      <c r="BJ117" s="138"/>
    </row>
    <row r="118" spans="37:62" ht="16.5" customHeight="1">
      <c r="AL118" s="111"/>
      <c r="AM118" s="137">
        <f t="shared" si="95"/>
        <v>4.6153846153846132</v>
      </c>
      <c r="AN118" s="138">
        <f t="shared" si="83"/>
        <v>1</v>
      </c>
      <c r="AO118" s="141">
        <f t="shared" si="65"/>
        <v>8.364950929952087E-3</v>
      </c>
      <c r="AP118" s="139">
        <f t="shared" si="77"/>
        <v>44.278047770884363</v>
      </c>
      <c r="AQ118" s="137">
        <f t="shared" si="96"/>
        <v>4.6153846153846132</v>
      </c>
      <c r="AR118" s="138">
        <f t="shared" si="84"/>
        <v>1</v>
      </c>
      <c r="AS118" s="141">
        <f t="shared" si="66"/>
        <v>1.1866720391124061E-2</v>
      </c>
      <c r="AT118" s="139">
        <f t="shared" si="78"/>
        <v>62.813902527570278</v>
      </c>
      <c r="AU118" s="137">
        <f t="shared" si="97"/>
        <v>4.6153846153846132</v>
      </c>
      <c r="AV118" s="138">
        <f t="shared" si="85"/>
        <v>1</v>
      </c>
      <c r="AW118" s="141">
        <f t="shared" si="67"/>
        <v>5.2124866198081689E-2</v>
      </c>
      <c r="AX118" s="139">
        <f t="shared" si="79"/>
        <v>275.9116383224063</v>
      </c>
      <c r="AY118" s="137">
        <f t="shared" si="98"/>
        <v>4.6153846153846132</v>
      </c>
      <c r="AZ118" s="138">
        <f t="shared" si="86"/>
        <v>1</v>
      </c>
      <c r="BA118" s="141">
        <f t="shared" si="68"/>
        <v>7.6357603500384882E-2</v>
      </c>
      <c r="BB118" s="139">
        <f t="shared" si="80"/>
        <v>404.18236087365244</v>
      </c>
      <c r="BC118" s="137">
        <f t="shared" si="99"/>
        <v>4.6153846153846132</v>
      </c>
      <c r="BD118" s="138">
        <f t="shared" si="26"/>
        <v>7.9111469274160406E-3</v>
      </c>
      <c r="BE118" s="138">
        <f t="shared" si="76"/>
        <v>4.6153846153846132</v>
      </c>
      <c r="BF118" s="138">
        <f t="shared" si="81"/>
        <v>0.05</v>
      </c>
      <c r="BG118" s="137"/>
      <c r="BH118" s="138"/>
      <c r="BI118" s="137"/>
      <c r="BJ118" s="138"/>
    </row>
    <row r="119" spans="37:62" ht="16.5" customHeight="1">
      <c r="AL119" s="111"/>
      <c r="AM119" s="137">
        <f t="shared" si="95"/>
        <v>4.7307692307692282</v>
      </c>
      <c r="AN119" s="138">
        <f t="shared" si="83"/>
        <v>1</v>
      </c>
      <c r="AO119" s="141">
        <f t="shared" si="65"/>
        <v>7.9618807185742654E-3</v>
      </c>
      <c r="AP119" s="139">
        <f t="shared" si="77"/>
        <v>44.278047770884356</v>
      </c>
      <c r="AQ119" s="137">
        <f t="shared" si="96"/>
        <v>4.7307692307692282</v>
      </c>
      <c r="AR119" s="138">
        <f t="shared" si="84"/>
        <v>1</v>
      </c>
      <c r="AS119" s="141">
        <f t="shared" si="66"/>
        <v>1.1294915303865853E-2</v>
      </c>
      <c r="AT119" s="139">
        <f t="shared" si="78"/>
        <v>62.813902527570278</v>
      </c>
      <c r="AU119" s="137">
        <f t="shared" si="97"/>
        <v>4.7307692307692282</v>
      </c>
      <c r="AV119" s="138">
        <f t="shared" si="85"/>
        <v>1</v>
      </c>
      <c r="AW119" s="141">
        <f t="shared" si="67"/>
        <v>4.9613198046954618E-2</v>
      </c>
      <c r="AX119" s="139">
        <f t="shared" si="79"/>
        <v>275.9116383224063</v>
      </c>
      <c r="AY119" s="137">
        <f t="shared" si="98"/>
        <v>4.7307692307692282</v>
      </c>
      <c r="AZ119" s="138">
        <f t="shared" si="86"/>
        <v>1</v>
      </c>
      <c r="BA119" s="141">
        <f t="shared" si="68"/>
        <v>7.2678266270443673E-2</v>
      </c>
      <c r="BB119" s="139">
        <f t="shared" si="80"/>
        <v>404.18236087365239</v>
      </c>
      <c r="BC119" s="137">
        <f t="shared" si="99"/>
        <v>4.7307692307692282</v>
      </c>
      <c r="BD119" s="138">
        <f t="shared" si="26"/>
        <v>7.5299435359105693E-3</v>
      </c>
      <c r="BE119" s="138">
        <f t="shared" si="76"/>
        <v>4.7307692307692282</v>
      </c>
      <c r="BF119" s="138">
        <f t="shared" si="81"/>
        <v>0.05</v>
      </c>
      <c r="BG119" s="137"/>
      <c r="BH119" s="138"/>
      <c r="BI119" s="137"/>
      <c r="BJ119" s="138"/>
    </row>
    <row r="120" spans="37:62" ht="16.5" customHeight="1">
      <c r="AL120" s="111"/>
      <c r="AM120" s="137">
        <f t="shared" si="95"/>
        <v>4.8461538461538431</v>
      </c>
      <c r="AN120" s="138">
        <f t="shared" si="83"/>
        <v>1</v>
      </c>
      <c r="AO120" s="141">
        <f t="shared" si="65"/>
        <v>7.5872570793216231E-3</v>
      </c>
      <c r="AP120" s="139">
        <f t="shared" si="77"/>
        <v>44.278047770884356</v>
      </c>
      <c r="AQ120" s="137">
        <f t="shared" si="96"/>
        <v>4.8461538461538431</v>
      </c>
      <c r="AR120" s="138">
        <f t="shared" si="84"/>
        <v>1</v>
      </c>
      <c r="AS120" s="141">
        <f t="shared" si="66"/>
        <v>1.0763465207368766E-2</v>
      </c>
      <c r="AT120" s="139">
        <f t="shared" si="78"/>
        <v>62.813902527570278</v>
      </c>
      <c r="AU120" s="137">
        <f t="shared" si="97"/>
        <v>4.8461538461538431</v>
      </c>
      <c r="AV120" s="138">
        <f t="shared" si="85"/>
        <v>1</v>
      </c>
      <c r="AW120" s="141">
        <f t="shared" si="67"/>
        <v>4.7278790202341686E-2</v>
      </c>
      <c r="AX120" s="139">
        <f t="shared" si="79"/>
        <v>275.9116383224063</v>
      </c>
      <c r="AY120" s="137">
        <f t="shared" si="98"/>
        <v>4.8461538461538431</v>
      </c>
      <c r="AZ120" s="138">
        <f t="shared" si="86"/>
        <v>1</v>
      </c>
      <c r="BA120" s="141">
        <f t="shared" si="68"/>
        <v>6.9258597279260689E-2</v>
      </c>
      <c r="BB120" s="139">
        <f t="shared" si="80"/>
        <v>404.18236087365244</v>
      </c>
      <c r="BC120" s="137">
        <f t="shared" si="99"/>
        <v>4.8461538461538431</v>
      </c>
      <c r="BD120" s="138">
        <f t="shared" si="26"/>
        <v>7.1756434715791774E-3</v>
      </c>
      <c r="BE120" s="138">
        <f t="shared" si="76"/>
        <v>4.8461538461538431</v>
      </c>
      <c r="BF120" s="138">
        <f t="shared" si="81"/>
        <v>0.05</v>
      </c>
      <c r="BG120" s="137"/>
      <c r="BH120" s="138"/>
      <c r="BI120" s="137"/>
      <c r="BJ120" s="138"/>
    </row>
    <row r="121" spans="37:62" ht="16.5" customHeight="1">
      <c r="AL121" s="111"/>
      <c r="AM121" s="137">
        <f t="shared" si="95"/>
        <v>4.9615384615384581</v>
      </c>
      <c r="AN121" s="138">
        <f t="shared" si="83"/>
        <v>1</v>
      </c>
      <c r="AO121" s="141">
        <f t="shared" si="65"/>
        <v>7.2384648393311766E-3</v>
      </c>
      <c r="AP121" s="139">
        <f t="shared" si="77"/>
        <v>44.278047770884356</v>
      </c>
      <c r="AQ121" s="137">
        <f t="shared" si="96"/>
        <v>4.9615384615384581</v>
      </c>
      <c r="AR121" s="138">
        <f t="shared" si="84"/>
        <v>1</v>
      </c>
      <c r="AS121" s="141">
        <f t="shared" si="66"/>
        <v>1.026866015456923E-2</v>
      </c>
      <c r="AT121" s="139">
        <f t="shared" si="78"/>
        <v>62.813902527570278</v>
      </c>
      <c r="AU121" s="137">
        <f t="shared" si="97"/>
        <v>4.9615384615384581</v>
      </c>
      <c r="AV121" s="138">
        <f t="shared" si="85"/>
        <v>1</v>
      </c>
      <c r="AW121" s="141">
        <f t="shared" si="67"/>
        <v>4.5105346628951187E-2</v>
      </c>
      <c r="AX121" s="139">
        <f t="shared" si="79"/>
        <v>275.9116383224063</v>
      </c>
      <c r="AY121" s="137">
        <f t="shared" si="98"/>
        <v>4.9615384615384581</v>
      </c>
      <c r="AZ121" s="138">
        <f t="shared" si="86"/>
        <v>1</v>
      </c>
      <c r="BA121" s="141">
        <f t="shared" si="68"/>
        <v>6.6074724500062659E-2</v>
      </c>
      <c r="BB121" s="139">
        <f t="shared" si="80"/>
        <v>404.18236087365233</v>
      </c>
      <c r="BC121" s="137">
        <f t="shared" si="99"/>
        <v>4.9615384615384581</v>
      </c>
      <c r="BD121" s="138">
        <f t="shared" si="26"/>
        <v>6.8457734363794867E-3</v>
      </c>
      <c r="BE121" s="138">
        <f t="shared" si="76"/>
        <v>4.9615384615384581</v>
      </c>
      <c r="BF121" s="138">
        <f t="shared" si="81"/>
        <v>0.05</v>
      </c>
      <c r="BG121" s="137"/>
      <c r="BH121" s="138"/>
      <c r="BI121" s="137"/>
      <c r="BJ121" s="138"/>
    </row>
    <row r="122" spans="37:62" ht="16.5" customHeight="1">
      <c r="AL122" s="111"/>
      <c r="AM122" s="137">
        <f t="shared" si="95"/>
        <v>5.0769230769230731</v>
      </c>
      <c r="AN122" s="138">
        <f t="shared" si="83"/>
        <v>1</v>
      </c>
      <c r="AO122" s="141">
        <f t="shared" si="65"/>
        <v>6.9131825867372659E-3</v>
      </c>
      <c r="AP122" s="139">
        <f t="shared" si="77"/>
        <v>44.278047770884356</v>
      </c>
      <c r="AQ122" s="137">
        <f t="shared" si="96"/>
        <v>5.0769230769230731</v>
      </c>
      <c r="AR122" s="138">
        <f t="shared" si="84"/>
        <v>1</v>
      </c>
      <c r="AS122" s="141">
        <f t="shared" si="66"/>
        <v>9.8072069348132795E-3</v>
      </c>
      <c r="AT122" s="139">
        <f t="shared" si="78"/>
        <v>62.813902527570278</v>
      </c>
      <c r="AU122" s="137">
        <f t="shared" si="97"/>
        <v>5.0769230769230731</v>
      </c>
      <c r="AV122" s="138">
        <f t="shared" si="85"/>
        <v>1</v>
      </c>
      <c r="AW122" s="141">
        <f t="shared" si="67"/>
        <v>4.3078401816596459E-2</v>
      </c>
      <c r="AX122" s="139">
        <f t="shared" si="79"/>
        <v>275.9116383224063</v>
      </c>
      <c r="AY122" s="137">
        <f t="shared" si="98"/>
        <v>5.0769230769230731</v>
      </c>
      <c r="AZ122" s="138">
        <f t="shared" si="86"/>
        <v>1</v>
      </c>
      <c r="BA122" s="141">
        <f t="shared" si="68"/>
        <v>6.310545743833465E-2</v>
      </c>
      <c r="BB122" s="139">
        <f t="shared" si="80"/>
        <v>404.18236087365244</v>
      </c>
      <c r="BC122" s="137">
        <f t="shared" si="99"/>
        <v>5.0769230769230731</v>
      </c>
      <c r="BD122" s="138">
        <f t="shared" si="26"/>
        <v>6.538137956542186E-3</v>
      </c>
      <c r="BE122" s="138">
        <f t="shared" si="76"/>
        <v>5.0769230769230731</v>
      </c>
      <c r="BF122" s="138">
        <f t="shared" si="81"/>
        <v>0.05</v>
      </c>
      <c r="BG122" s="137"/>
      <c r="BH122" s="138"/>
      <c r="BI122" s="137"/>
      <c r="BJ122" s="138"/>
    </row>
    <row r="123" spans="37:62" ht="16.5" customHeight="1">
      <c r="AL123" s="111"/>
      <c r="AM123" s="137">
        <f t="shared" si="95"/>
        <v>5.1923076923076881</v>
      </c>
      <c r="AN123" s="138">
        <f t="shared" si="83"/>
        <v>1</v>
      </c>
      <c r="AO123" s="141">
        <f t="shared" si="65"/>
        <v>6.6093439446535058E-3</v>
      </c>
      <c r="AP123" s="139">
        <f t="shared" si="77"/>
        <v>44.278047770884363</v>
      </c>
      <c r="AQ123" s="137">
        <f t="shared" si="96"/>
        <v>5.1923076923076881</v>
      </c>
      <c r="AR123" s="138">
        <f t="shared" si="84"/>
        <v>1</v>
      </c>
      <c r="AS123" s="141">
        <f t="shared" si="66"/>
        <v>9.3761741361967962E-3</v>
      </c>
      <c r="AT123" s="139">
        <f t="shared" si="78"/>
        <v>62.813902527570278</v>
      </c>
      <c r="AU123" s="137">
        <f t="shared" si="97"/>
        <v>5.1923076923076881</v>
      </c>
      <c r="AV123" s="138">
        <f t="shared" si="85"/>
        <v>1</v>
      </c>
      <c r="AW123" s="141">
        <f t="shared" si="67"/>
        <v>4.1185079465150994E-2</v>
      </c>
      <c r="AX123" s="139">
        <f t="shared" si="79"/>
        <v>275.9116383224063</v>
      </c>
      <c r="AY123" s="137">
        <f t="shared" si="98"/>
        <v>5.1923076923076881</v>
      </c>
      <c r="AZ123" s="138">
        <f t="shared" si="86"/>
        <v>1</v>
      </c>
      <c r="BA123" s="141">
        <f t="shared" si="68"/>
        <v>6.0331933629933776E-2</v>
      </c>
      <c r="BB123" s="139">
        <f t="shared" si="80"/>
        <v>404.18236087365239</v>
      </c>
      <c r="BC123" s="137">
        <f t="shared" si="99"/>
        <v>5.1923076923076881</v>
      </c>
      <c r="BD123" s="138">
        <f t="shared" si="26"/>
        <v>6.2507827574645311E-3</v>
      </c>
      <c r="BE123" s="138">
        <f t="shared" si="76"/>
        <v>5.1923076923076881</v>
      </c>
      <c r="BF123" s="138">
        <f t="shared" si="81"/>
        <v>0.05</v>
      </c>
      <c r="BG123" s="137"/>
      <c r="BH123" s="138"/>
      <c r="BI123" s="137"/>
      <c r="BJ123" s="138"/>
    </row>
    <row r="124" spans="37:62" ht="16.5" customHeight="1">
      <c r="AL124" s="111"/>
      <c r="AM124" s="137">
        <f t="shared" si="95"/>
        <v>5.307692307692303</v>
      </c>
      <c r="AN124" s="138">
        <f t="shared" si="83"/>
        <v>1</v>
      </c>
      <c r="AO124" s="141">
        <f t="shared" si="65"/>
        <v>6.3251046729316399E-3</v>
      </c>
      <c r="AP124" s="139">
        <f t="shared" si="77"/>
        <v>44.278047770884356</v>
      </c>
      <c r="AQ124" s="137">
        <f t="shared" si="96"/>
        <v>5.307692307692303</v>
      </c>
      <c r="AR124" s="138">
        <f t="shared" si="84"/>
        <v>1</v>
      </c>
      <c r="AS124" s="141">
        <f t="shared" si="66"/>
        <v>8.9729454753301099E-3</v>
      </c>
      <c r="AT124" s="139">
        <f t="shared" si="78"/>
        <v>62.813902527570264</v>
      </c>
      <c r="AU124" s="137">
        <f t="shared" si="97"/>
        <v>5.307692307692303</v>
      </c>
      <c r="AV124" s="138">
        <f t="shared" si="85"/>
        <v>1</v>
      </c>
      <c r="AW124" s="141">
        <f t="shared" si="67"/>
        <v>3.9413887484371822E-2</v>
      </c>
      <c r="AX124" s="139">
        <f t="shared" si="79"/>
        <v>275.9116383224063</v>
      </c>
      <c r="AY124" s="137">
        <f t="shared" si="98"/>
        <v>5.307692307692303</v>
      </c>
      <c r="AZ124" s="138">
        <f t="shared" si="86"/>
        <v>1</v>
      </c>
      <c r="BA124" s="141">
        <f t="shared" si="68"/>
        <v>5.7737318336775006E-2</v>
      </c>
      <c r="BB124" s="139">
        <f t="shared" si="80"/>
        <v>404.18236087365244</v>
      </c>
      <c r="BC124" s="137">
        <f t="shared" si="99"/>
        <v>5.307692307692303</v>
      </c>
      <c r="BD124" s="138">
        <f t="shared" si="26"/>
        <v>5.981963650220073E-3</v>
      </c>
      <c r="BE124" s="138">
        <f t="shared" si="76"/>
        <v>5.307692307692303</v>
      </c>
      <c r="BF124" s="138">
        <f t="shared" si="81"/>
        <v>0.05</v>
      </c>
      <c r="BG124" s="137"/>
      <c r="BH124" s="138"/>
      <c r="BI124" s="137"/>
      <c r="BJ124" s="138"/>
    </row>
    <row r="125" spans="37:62" ht="16.5" customHeight="1">
      <c r="AK125" s="135"/>
      <c r="AL125" s="111"/>
      <c r="AM125" s="137">
        <f t="shared" si="95"/>
        <v>5.423076923076918</v>
      </c>
      <c r="AN125" s="138">
        <f t="shared" si="83"/>
        <v>1</v>
      </c>
      <c r="AO125" s="141">
        <f t="shared" si="65"/>
        <v>6.0588146165338847E-3</v>
      </c>
      <c r="AP125" s="139">
        <f t="shared" si="77"/>
        <v>44.278047770884356</v>
      </c>
      <c r="AQ125" s="137">
        <f t="shared" si="96"/>
        <v>5.423076923076918</v>
      </c>
      <c r="AR125" s="138">
        <f t="shared" si="84"/>
        <v>1</v>
      </c>
      <c r="AS125" s="141">
        <f t="shared" si="66"/>
        <v>8.5951800026249497E-3</v>
      </c>
      <c r="AT125" s="139">
        <f t="shared" si="78"/>
        <v>62.813902527570278</v>
      </c>
      <c r="AU125" s="137">
        <f t="shared" si="97"/>
        <v>5.423076923076918</v>
      </c>
      <c r="AV125" s="138">
        <f t="shared" si="85"/>
        <v>1</v>
      </c>
      <c r="AW125" s="141">
        <f t="shared" si="67"/>
        <v>3.7754543194626879E-2</v>
      </c>
      <c r="AX125" s="139">
        <f t="shared" si="79"/>
        <v>275.9116383224063</v>
      </c>
      <c r="AY125" s="137">
        <f t="shared" si="98"/>
        <v>5.423076923076918</v>
      </c>
      <c r="AZ125" s="138">
        <f t="shared" si="86"/>
        <v>1</v>
      </c>
      <c r="BA125" s="141">
        <f t="shared" si="68"/>
        <v>5.5306548483755505E-2</v>
      </c>
      <c r="BB125" s="139">
        <f t="shared" si="80"/>
        <v>404.18236087365233</v>
      </c>
      <c r="BC125" s="137">
        <f t="shared" si="99"/>
        <v>5.423076923076918</v>
      </c>
      <c r="BD125" s="138">
        <f t="shared" si="26"/>
        <v>5.7301200017499665E-3</v>
      </c>
      <c r="BE125" s="138">
        <f t="shared" si="76"/>
        <v>5.423076923076918</v>
      </c>
      <c r="BF125" s="138">
        <f t="shared" si="81"/>
        <v>0.05</v>
      </c>
      <c r="BG125" s="137"/>
      <c r="BH125" s="138"/>
      <c r="BI125" s="137"/>
      <c r="BJ125" s="138"/>
    </row>
    <row r="126" spans="37:62" ht="16.5" customHeight="1">
      <c r="AL126" s="111"/>
      <c r="AM126" s="137">
        <f t="shared" si="95"/>
        <v>5.538461538461533</v>
      </c>
      <c r="AN126" s="138">
        <f t="shared" si="83"/>
        <v>1</v>
      </c>
      <c r="AO126" s="141">
        <f t="shared" si="65"/>
        <v>5.8089937013556222E-3</v>
      </c>
      <c r="AP126" s="139">
        <f t="shared" si="77"/>
        <v>44.278047770884356</v>
      </c>
      <c r="AQ126" s="137">
        <f t="shared" si="96"/>
        <v>5.538461538461533</v>
      </c>
      <c r="AR126" s="138">
        <f t="shared" si="84"/>
        <v>1</v>
      </c>
      <c r="AS126" s="141">
        <f t="shared" si="66"/>
        <v>8.2407780493917171E-3</v>
      </c>
      <c r="AT126" s="139">
        <f t="shared" si="78"/>
        <v>62.813902527570264</v>
      </c>
      <c r="AU126" s="137">
        <f t="shared" si="97"/>
        <v>5.538461538461533</v>
      </c>
      <c r="AV126" s="138">
        <f t="shared" si="85"/>
        <v>1</v>
      </c>
      <c r="AW126" s="141">
        <f t="shared" si="67"/>
        <v>3.6197823748667875E-2</v>
      </c>
      <c r="AX126" s="139">
        <f t="shared" si="79"/>
        <v>275.9116383224063</v>
      </c>
      <c r="AY126" s="137">
        <f t="shared" si="98"/>
        <v>5.538461538461533</v>
      </c>
      <c r="AZ126" s="138">
        <f t="shared" si="86"/>
        <v>1</v>
      </c>
      <c r="BA126" s="141">
        <f t="shared" si="68"/>
        <v>5.3026113541933997E-2</v>
      </c>
      <c r="BB126" s="139">
        <f t="shared" si="80"/>
        <v>404.18236087365239</v>
      </c>
      <c r="BC126" s="137">
        <f t="shared" si="99"/>
        <v>5.538461538461533</v>
      </c>
      <c r="BD126" s="138">
        <f t="shared" si="26"/>
        <v>5.4938520329278111E-3</v>
      </c>
      <c r="BE126" s="138">
        <f t="shared" si="76"/>
        <v>5.538461538461533</v>
      </c>
      <c r="BF126" s="138">
        <f t="shared" si="81"/>
        <v>0.05</v>
      </c>
      <c r="BG126" s="137"/>
      <c r="BH126" s="138"/>
      <c r="BI126" s="137"/>
      <c r="BJ126" s="138"/>
    </row>
    <row r="127" spans="37:62" ht="16.5" customHeight="1">
      <c r="AL127" s="111"/>
      <c r="AM127" s="137">
        <f t="shared" si="95"/>
        <v>5.653846153846148</v>
      </c>
      <c r="AN127" s="138">
        <f t="shared" si="83"/>
        <v>1</v>
      </c>
      <c r="AO127" s="141">
        <f t="shared" si="65"/>
        <v>5.5743113235832377E-3</v>
      </c>
      <c r="AP127" s="139">
        <f t="shared" si="77"/>
        <v>44.278047770884363</v>
      </c>
      <c r="AQ127" s="137">
        <f t="shared" si="96"/>
        <v>5.653846153846148</v>
      </c>
      <c r="AR127" s="138">
        <f t="shared" si="84"/>
        <v>1</v>
      </c>
      <c r="AS127" s="141">
        <f t="shared" si="66"/>
        <v>7.9078519890872639E-3</v>
      </c>
      <c r="AT127" s="139">
        <f t="shared" si="78"/>
        <v>62.813902527570285</v>
      </c>
      <c r="AU127" s="137">
        <f t="shared" si="97"/>
        <v>5.653846153846148</v>
      </c>
      <c r="AV127" s="138">
        <f t="shared" si="85"/>
        <v>1</v>
      </c>
      <c r="AW127" s="141">
        <f t="shared" si="67"/>
        <v>3.4735437699679635E-2</v>
      </c>
      <c r="AX127" s="139">
        <f t="shared" si="79"/>
        <v>275.9116383224063</v>
      </c>
      <c r="AY127" s="137">
        <f t="shared" si="98"/>
        <v>5.653846153846148</v>
      </c>
      <c r="AZ127" s="138">
        <f t="shared" si="86"/>
        <v>1</v>
      </c>
      <c r="BA127" s="141">
        <f t="shared" si="68"/>
        <v>5.0883867388844622E-2</v>
      </c>
      <c r="BB127" s="139">
        <f t="shared" si="80"/>
        <v>404.18236087365239</v>
      </c>
      <c r="BC127" s="137">
        <f t="shared" si="99"/>
        <v>5.653846153846148</v>
      </c>
      <c r="BD127" s="138">
        <f t="shared" si="26"/>
        <v>5.271901326058176E-3</v>
      </c>
      <c r="BE127" s="138">
        <f t="shared" si="76"/>
        <v>5.653846153846148</v>
      </c>
      <c r="BF127" s="138">
        <f t="shared" si="81"/>
        <v>0.05</v>
      </c>
      <c r="BG127" s="137"/>
      <c r="BH127" s="138"/>
      <c r="BI127" s="137"/>
      <c r="BJ127" s="138"/>
    </row>
    <row r="128" spans="37:62" ht="16.5" customHeight="1">
      <c r="AL128" s="111"/>
      <c r="AM128" s="137">
        <f t="shared" si="95"/>
        <v>5.7692307692307629</v>
      </c>
      <c r="AN128" s="138">
        <f t="shared" si="83"/>
        <v>1</v>
      </c>
      <c r="AO128" s="141">
        <f t="shared" ref="AO128:AO130" si="100">AO$7*AM$22*AM$63/AM128^2*AN128</f>
        <v>5.3535685951693422E-3</v>
      </c>
      <c r="AP128" s="139">
        <f t="shared" si="77"/>
        <v>44.278047770884356</v>
      </c>
      <c r="AQ128" s="137">
        <f t="shared" si="96"/>
        <v>5.7692307692307629</v>
      </c>
      <c r="AR128" s="138">
        <f t="shared" si="84"/>
        <v>1</v>
      </c>
      <c r="AS128" s="141">
        <f t="shared" ref="AS128:AS130" si="101">AS$7*AQ$22*AQ$63/AQ128^2*AR128</f>
        <v>7.5947010503194089E-3</v>
      </c>
      <c r="AT128" s="139">
        <f t="shared" si="78"/>
        <v>62.813902527570278</v>
      </c>
      <c r="AU128" s="137">
        <f t="shared" si="97"/>
        <v>5.7692307692307629</v>
      </c>
      <c r="AV128" s="138">
        <f t="shared" si="85"/>
        <v>1</v>
      </c>
      <c r="AW128" s="141">
        <f t="shared" ref="AW128:AW130" si="102">AW$7*AU$22*AU$63/AU128^2*AV128</f>
        <v>3.3359914366772325E-2</v>
      </c>
      <c r="AX128" s="139">
        <f t="shared" si="79"/>
        <v>275.9116383224063</v>
      </c>
      <c r="AY128" s="137">
        <f t="shared" si="98"/>
        <v>5.7692307692307629</v>
      </c>
      <c r="AZ128" s="138">
        <f t="shared" si="86"/>
        <v>1</v>
      </c>
      <c r="BA128" s="141">
        <f t="shared" ref="BA128:BA130" si="103">BA$7*AY$22*AY$63/AY128^2*AZ128</f>
        <v>4.8868866240246382E-2</v>
      </c>
      <c r="BB128" s="139">
        <f t="shared" si="80"/>
        <v>404.18236087365239</v>
      </c>
      <c r="BC128" s="137">
        <f t="shared" si="99"/>
        <v>5.7692307692307629</v>
      </c>
      <c r="BD128" s="138">
        <f t="shared" si="26"/>
        <v>5.0631340335462729E-3</v>
      </c>
      <c r="BE128" s="138">
        <f t="shared" si="76"/>
        <v>5.7692307692307629</v>
      </c>
      <c r="BF128" s="138">
        <f t="shared" si="81"/>
        <v>0.05</v>
      </c>
      <c r="BG128" s="137"/>
      <c r="BH128" s="138"/>
      <c r="BI128" s="137"/>
      <c r="BJ128" s="138"/>
    </row>
    <row r="129" spans="36:62" ht="16.5" customHeight="1">
      <c r="AL129" s="111"/>
      <c r="AM129" s="137">
        <f t="shared" si="95"/>
        <v>5.8846153846153779</v>
      </c>
      <c r="AN129" s="138">
        <f t="shared" si="83"/>
        <v>1</v>
      </c>
      <c r="AO129" s="141">
        <f t="shared" si="100"/>
        <v>5.1456830018928703E-3</v>
      </c>
      <c r="AP129" s="139">
        <f t="shared" si="77"/>
        <v>44.278047770884356</v>
      </c>
      <c r="AQ129" s="137">
        <f t="shared" si="96"/>
        <v>5.8846153846153779</v>
      </c>
      <c r="AR129" s="138">
        <f t="shared" si="84"/>
        <v>1</v>
      </c>
      <c r="AS129" s="141">
        <f t="shared" si="101"/>
        <v>7.299789552402354E-3</v>
      </c>
      <c r="AT129" s="139">
        <f t="shared" si="78"/>
        <v>62.813902527570278</v>
      </c>
      <c r="AU129" s="137">
        <f t="shared" si="97"/>
        <v>5.8846153846153779</v>
      </c>
      <c r="AV129" s="138">
        <f t="shared" si="85"/>
        <v>1</v>
      </c>
      <c r="AW129" s="141">
        <f t="shared" si="102"/>
        <v>3.2064508234114115E-2</v>
      </c>
      <c r="AX129" s="139">
        <f t="shared" si="79"/>
        <v>275.9116383224063</v>
      </c>
      <c r="AY129" s="137">
        <f t="shared" si="98"/>
        <v>5.8846153846153779</v>
      </c>
      <c r="AZ129" s="138">
        <f t="shared" si="86"/>
        <v>1</v>
      </c>
      <c r="BA129" s="141">
        <f t="shared" si="103"/>
        <v>4.6971228604619747E-2</v>
      </c>
      <c r="BB129" s="139">
        <f t="shared" si="80"/>
        <v>404.18236087365244</v>
      </c>
      <c r="BC129" s="137">
        <f t="shared" si="99"/>
        <v>5.8846153846153779</v>
      </c>
      <c r="BD129" s="138">
        <f t="shared" si="26"/>
        <v>4.8665263682682357E-3</v>
      </c>
      <c r="BE129" s="138">
        <f t="shared" si="76"/>
        <v>5.8846153846153779</v>
      </c>
      <c r="BF129" s="138">
        <f t="shared" si="81"/>
        <v>0.05</v>
      </c>
      <c r="BG129" s="137"/>
      <c r="BH129" s="138"/>
      <c r="BI129" s="137"/>
      <c r="BJ129" s="138"/>
    </row>
    <row r="130" spans="36:62" ht="16.5" customHeight="1">
      <c r="AL130" s="111" t="s">
        <v>229</v>
      </c>
      <c r="AM130" s="137">
        <f>AO$5</f>
        <v>6</v>
      </c>
      <c r="AN130" s="138">
        <f t="shared" si="83"/>
        <v>1</v>
      </c>
      <c r="AO130" s="141">
        <f t="shared" si="100"/>
        <v>4.9496751064805203E-3</v>
      </c>
      <c r="AP130" s="139">
        <f t="shared" si="77"/>
        <v>44.278047770884356</v>
      </c>
      <c r="AQ130" s="137">
        <f>AS$5</f>
        <v>6</v>
      </c>
      <c r="AR130" s="138">
        <f t="shared" si="84"/>
        <v>1</v>
      </c>
      <c r="AS130" s="141">
        <f t="shared" si="101"/>
        <v>7.0217280420852369E-3</v>
      </c>
      <c r="AT130" s="139">
        <f t="shared" si="78"/>
        <v>62.813902527570264</v>
      </c>
      <c r="AU130" s="137">
        <f>AW$5</f>
        <v>6</v>
      </c>
      <c r="AV130" s="138">
        <f t="shared" si="85"/>
        <v>1</v>
      </c>
      <c r="AW130" s="141">
        <f t="shared" si="102"/>
        <v>3.0843116093539433E-2</v>
      </c>
      <c r="AX130" s="139">
        <f t="shared" si="79"/>
        <v>275.9116383224063</v>
      </c>
      <c r="AY130" s="137">
        <f>BA$5</f>
        <v>6</v>
      </c>
      <c r="AZ130" s="138">
        <f t="shared" si="86"/>
        <v>1</v>
      </c>
      <c r="BA130" s="141">
        <f t="shared" si="103"/>
        <v>4.5182013905553139E-2</v>
      </c>
      <c r="BB130" s="139">
        <f t="shared" si="80"/>
        <v>404.18236087365239</v>
      </c>
      <c r="BC130" s="137">
        <f t="shared" si="99"/>
        <v>6</v>
      </c>
      <c r="BD130" s="141">
        <f t="shared" si="26"/>
        <v>4.6811520280568243E-3</v>
      </c>
      <c r="BE130" s="138">
        <f t="shared" si="76"/>
        <v>6</v>
      </c>
      <c r="BF130" s="138">
        <f t="shared" si="81"/>
        <v>0.05</v>
      </c>
      <c r="BG130" s="137"/>
      <c r="BH130" s="138"/>
      <c r="BI130" s="137"/>
      <c r="BJ130" s="138"/>
    </row>
    <row r="131" spans="36:62" ht="16.5" customHeight="1">
      <c r="AL131" s="114"/>
      <c r="AM131" s="137">
        <f t="shared" ref="AM131:AM139" si="104">AM$130+(AM$140-AM$130)*(ROW(AM131)-ROW(AM$130))/10</f>
        <v>6.4</v>
      </c>
      <c r="AN131" s="138">
        <f t="shared" si="83"/>
        <v>1</v>
      </c>
      <c r="AO131" s="141">
        <f>AP131/9.81/(AM131/2/PI())^2/1000</f>
        <v>4.0996051100417961E-3</v>
      </c>
      <c r="AP131" s="139">
        <f t="shared" ref="AP131:AP140" si="105">$AL$135*AO$1*AO$3*AO$4*9.81*(AO$8*$AB$7+(1-AO$8*$AB$7)*(AM131-AO$5)/($AE$6-AO$5))</f>
        <v>41.726431458663903</v>
      </c>
      <c r="AQ131" s="137">
        <f t="shared" ref="AQ131:AQ139" si="106">AQ$130+(AQ$140-AQ$130)*(ROW(AQ131)-ROW(AQ$130))/10</f>
        <v>6.4</v>
      </c>
      <c r="AR131" s="138">
        <f t="shared" si="84"/>
        <v>1</v>
      </c>
      <c r="AS131" s="141">
        <f>AT131/9.81/(AQ131/2/PI())^2/1000</f>
        <v>5.8207663998483252E-3</v>
      </c>
      <c r="AT131" s="139">
        <f t="shared" ref="AT131:AT140" si="107">$AL$135*$C$18*$E$18*$F$18*9.81*($D$8*$AB$7+(1-$D$8*$AB$7)*(AQ131-$G$18)/($AE$6-$G$18))</f>
        <v>59.244684231962218</v>
      </c>
      <c r="AU131" s="137">
        <f t="shared" ref="AU131:AU139" si="108">AU$130+(AU$140-AU$130)*(ROW(AU131)-ROW(AU$130))/10</f>
        <v>6.4</v>
      </c>
      <c r="AV131" s="138">
        <f t="shared" si="85"/>
        <v>1</v>
      </c>
      <c r="AW131" s="141">
        <f>AX131/9.81/(AU131/2/PI())^2/1000</f>
        <v>2.5522208641815061E-2</v>
      </c>
      <c r="AX131" s="139">
        <f t="shared" ref="AX131:AX140" si="109">$AL$135*$C$19*$E$19*$F$19*9.81*($D$9*$AB$7+(1-$D$9*$AB$7)*(AU131-$G$19)/($AE$6-$G$19))</f>
        <v>259.76909018819089</v>
      </c>
      <c r="AY131" s="137">
        <f t="shared" ref="AY131:AY139" si="110">AY$130+(AY$140-AY$130)*(ROW(AY131)-ROW(AY$130))/10</f>
        <v>6.4</v>
      </c>
      <c r="AZ131" s="138">
        <f t="shared" si="86"/>
        <v>1</v>
      </c>
      <c r="BA131" s="141">
        <f>BB131/9.81/(AY131/2/PI())^2/1000</f>
        <v>3.7363840702786491E-2</v>
      </c>
      <c r="BB131" s="139">
        <f t="shared" ref="BB131:BB140" si="111">$AL$135*$C$20*$E$20*$F$20*9.81*($D$10*$AB$7+(1-$D$10*$AB$7)*(AY131-$G$20)/($AE$6-$G$20))</f>
        <v>380.29510069113996</v>
      </c>
      <c r="BC131" s="137">
        <f t="shared" si="99"/>
        <v>6.4</v>
      </c>
      <c r="BD131" s="141">
        <f t="shared" ref="BD131:BD140" si="112">AS131/1.5</f>
        <v>3.880510933232217E-3</v>
      </c>
      <c r="BE131" s="138">
        <f t="shared" si="76"/>
        <v>6.4</v>
      </c>
      <c r="BF131" s="138">
        <f t="shared" si="81"/>
        <v>0.05</v>
      </c>
      <c r="BG131" s="137"/>
      <c r="BH131" s="138"/>
      <c r="BI131" s="137"/>
      <c r="BJ131" s="138"/>
    </row>
    <row r="132" spans="36:62" ht="16.5" customHeight="1">
      <c r="AL132" s="114"/>
      <c r="AM132" s="137">
        <f t="shared" si="104"/>
        <v>6.8</v>
      </c>
      <c r="AN132" s="138">
        <f t="shared" si="83"/>
        <v>1</v>
      </c>
      <c r="AO132" s="141">
        <f t="shared" ref="AO132:AO140" si="113">AP132/9.81/(AM132/2/PI())^2/1000</f>
        <v>3.4094149390425025E-3</v>
      </c>
      <c r="AP132" s="139">
        <f t="shared" si="105"/>
        <v>39.17481514644345</v>
      </c>
      <c r="AQ132" s="137">
        <f t="shared" si="106"/>
        <v>6.8</v>
      </c>
      <c r="AR132" s="138">
        <f t="shared" si="84"/>
        <v>1</v>
      </c>
      <c r="AS132" s="141">
        <f t="shared" ref="AS132:AS140" si="114">AT132/9.81/(AQ132/2/PI())^2/1000</f>
        <v>4.84547954066839E-3</v>
      </c>
      <c r="AT132" s="139">
        <f t="shared" si="107"/>
        <v>55.675465936354179</v>
      </c>
      <c r="AU132" s="137">
        <f t="shared" si="108"/>
        <v>6.8</v>
      </c>
      <c r="AV132" s="138">
        <f t="shared" si="85"/>
        <v>1</v>
      </c>
      <c r="AW132" s="141">
        <f t="shared" ref="AW132:AW140" si="115">AX132/9.81/(AU132/2/PI())^2/1000</f>
        <v>2.1203009354889061E-2</v>
      </c>
      <c r="AX132" s="139">
        <f t="shared" si="109"/>
        <v>243.62654205397541</v>
      </c>
      <c r="AY132" s="137">
        <f t="shared" si="110"/>
        <v>6.8</v>
      </c>
      <c r="AZ132" s="138">
        <f t="shared" si="86"/>
        <v>1</v>
      </c>
      <c r="BA132" s="141">
        <f t="shared" ref="BA132:BA140" si="116">BB132/9.81/(AY132/2/PI())^2/1000</f>
        <v>3.1018454363589031E-2</v>
      </c>
      <c r="BB132" s="139">
        <f t="shared" si="111"/>
        <v>356.4078405086276</v>
      </c>
      <c r="BC132" s="137">
        <f t="shared" si="99"/>
        <v>6.8</v>
      </c>
      <c r="BD132" s="141">
        <f t="shared" si="112"/>
        <v>3.2303196937789268E-3</v>
      </c>
      <c r="BE132" s="138">
        <f t="shared" si="76"/>
        <v>6.8</v>
      </c>
      <c r="BF132" s="138">
        <f t="shared" si="81"/>
        <v>0.05</v>
      </c>
      <c r="BG132" s="137"/>
      <c r="BH132" s="138"/>
      <c r="BI132" s="137"/>
      <c r="BJ132" s="138"/>
    </row>
    <row r="133" spans="36:62" ht="16.5" customHeight="1">
      <c r="AL133" s="114"/>
      <c r="AM133" s="137">
        <f t="shared" si="104"/>
        <v>7.2</v>
      </c>
      <c r="AN133" s="138">
        <f t="shared" si="83"/>
        <v>1</v>
      </c>
      <c r="AO133" s="141">
        <f t="shared" si="113"/>
        <v>2.8430337240613161E-3</v>
      </c>
      <c r="AP133" s="139">
        <f t="shared" si="105"/>
        <v>36.623198834222997</v>
      </c>
      <c r="AQ133" s="137">
        <f t="shared" si="106"/>
        <v>7.2</v>
      </c>
      <c r="AR133" s="138">
        <f t="shared" si="84"/>
        <v>1</v>
      </c>
      <c r="AS133" s="141">
        <f t="shared" si="114"/>
        <v>4.0449721485961649E-3</v>
      </c>
      <c r="AT133" s="139">
        <f t="shared" si="107"/>
        <v>52.106247640746119</v>
      </c>
      <c r="AU133" s="137">
        <f t="shared" si="108"/>
        <v>7.2</v>
      </c>
      <c r="AV133" s="138">
        <f t="shared" si="85"/>
        <v>1</v>
      </c>
      <c r="AW133" s="141">
        <f t="shared" si="115"/>
        <v>1.7659425909942045E-2</v>
      </c>
      <c r="AX133" s="139">
        <f t="shared" si="109"/>
        <v>227.48399391975994</v>
      </c>
      <c r="AY133" s="137">
        <f t="shared" si="110"/>
        <v>7.2</v>
      </c>
      <c r="AZ133" s="138">
        <f t="shared" si="86"/>
        <v>1</v>
      </c>
      <c r="BA133" s="141">
        <f t="shared" si="116"/>
        <v>2.5813343834077518E-2</v>
      </c>
      <c r="BB133" s="139">
        <f t="shared" si="111"/>
        <v>332.52058032611524</v>
      </c>
      <c r="BC133" s="137">
        <f t="shared" si="99"/>
        <v>7.2</v>
      </c>
      <c r="BD133" s="141">
        <f t="shared" si="112"/>
        <v>2.6966480990641101E-3</v>
      </c>
      <c r="BE133" s="138">
        <f t="shared" si="76"/>
        <v>7.2</v>
      </c>
      <c r="BF133" s="138">
        <f t="shared" si="81"/>
        <v>0.05</v>
      </c>
      <c r="BG133" s="137"/>
      <c r="BH133" s="138"/>
      <c r="BI133" s="137"/>
      <c r="BJ133" s="138"/>
    </row>
    <row r="134" spans="36:62" ht="16.5" customHeight="1">
      <c r="AL134" s="114"/>
      <c r="AM134" s="137">
        <f t="shared" si="104"/>
        <v>7.6</v>
      </c>
      <c r="AN134" s="138">
        <f t="shared" si="83"/>
        <v>1</v>
      </c>
      <c r="AO134" s="141">
        <f t="shared" si="113"/>
        <v>2.3738640881120479E-3</v>
      </c>
      <c r="AP134" s="139">
        <f t="shared" si="105"/>
        <v>34.071582522002544</v>
      </c>
      <c r="AQ134" s="137">
        <f t="shared" si="106"/>
        <v>7.6</v>
      </c>
      <c r="AR134" s="138">
        <f t="shared" si="84"/>
        <v>1</v>
      </c>
      <c r="AS134" s="141">
        <f t="shared" si="114"/>
        <v>3.3817129225405841E-3</v>
      </c>
      <c r="AT134" s="139">
        <f t="shared" si="107"/>
        <v>48.537029345138073</v>
      </c>
      <c r="AU134" s="137">
        <f t="shared" si="108"/>
        <v>7.6</v>
      </c>
      <c r="AV134" s="138">
        <f t="shared" si="85"/>
        <v>1</v>
      </c>
      <c r="AW134" s="141">
        <f t="shared" si="115"/>
        <v>1.4724759795234082E-2</v>
      </c>
      <c r="AX134" s="139">
        <f t="shared" si="109"/>
        <v>211.34144578554444</v>
      </c>
      <c r="AY134" s="137">
        <f t="shared" si="110"/>
        <v>7.6</v>
      </c>
      <c r="AZ134" s="138">
        <f t="shared" si="86"/>
        <v>1</v>
      </c>
      <c r="BA134" s="141">
        <f t="shared" si="116"/>
        <v>2.1503361477576192E-2</v>
      </c>
      <c r="BB134" s="139">
        <f t="shared" si="111"/>
        <v>308.63332014360293</v>
      </c>
      <c r="BC134" s="137">
        <f t="shared" si="99"/>
        <v>7.6</v>
      </c>
      <c r="BD134" s="141">
        <f t="shared" si="112"/>
        <v>2.2544752816937227E-3</v>
      </c>
      <c r="BE134" s="138">
        <f t="shared" si="76"/>
        <v>7.6</v>
      </c>
      <c r="BF134" s="138">
        <f t="shared" si="81"/>
        <v>0.05</v>
      </c>
      <c r="BG134" s="137"/>
      <c r="BH134" s="138"/>
      <c r="BI134" s="137"/>
      <c r="BJ134" s="138"/>
    </row>
    <row r="135" spans="36:62" ht="16.5" customHeight="1">
      <c r="AJ135" s="135" t="s">
        <v>266</v>
      </c>
      <c r="AL135" s="138">
        <f>250/PI()^2</f>
        <v>25.330295910584443</v>
      </c>
      <c r="AM135" s="137">
        <f t="shared" si="104"/>
        <v>8</v>
      </c>
      <c r="AN135" s="138">
        <f t="shared" si="83"/>
        <v>1</v>
      </c>
      <c r="AO135" s="141">
        <f t="shared" si="113"/>
        <v>1.9819673625525807E-3</v>
      </c>
      <c r="AP135" s="139">
        <f t="shared" si="105"/>
        <v>31.519966209782087</v>
      </c>
      <c r="AQ135" s="137">
        <f t="shared" si="106"/>
        <v>8</v>
      </c>
      <c r="AR135" s="138">
        <f t="shared" si="84"/>
        <v>1</v>
      </c>
      <c r="AS135" s="141">
        <f t="shared" si="114"/>
        <v>2.8275643848228601E-3</v>
      </c>
      <c r="AT135" s="139">
        <f t="shared" si="107"/>
        <v>44.96781104953002</v>
      </c>
      <c r="AU135" s="137">
        <f t="shared" si="108"/>
        <v>8</v>
      </c>
      <c r="AV135" s="138">
        <f t="shared" si="85"/>
        <v>1</v>
      </c>
      <c r="AW135" s="141">
        <f t="shared" si="115"/>
        <v>1.2274056443344466E-2</v>
      </c>
      <c r="AX135" s="139">
        <f t="shared" si="109"/>
        <v>195.19889765132896</v>
      </c>
      <c r="AY135" s="137">
        <f t="shared" si="110"/>
        <v>8</v>
      </c>
      <c r="AZ135" s="138">
        <f t="shared" si="86"/>
        <v>1</v>
      </c>
      <c r="BA135" s="141">
        <f t="shared" si="116"/>
        <v>1.7904758961422226E-2</v>
      </c>
      <c r="BB135" s="139">
        <f t="shared" si="111"/>
        <v>284.74605996109051</v>
      </c>
      <c r="BC135" s="137">
        <f t="shared" si="99"/>
        <v>8</v>
      </c>
      <c r="BD135" s="141">
        <f t="shared" si="112"/>
        <v>1.8850429232152401E-3</v>
      </c>
      <c r="BE135" s="138">
        <f t="shared" si="76"/>
        <v>8</v>
      </c>
      <c r="BF135" s="138">
        <f t="shared" si="81"/>
        <v>0.05</v>
      </c>
      <c r="BG135" s="137"/>
      <c r="BH135" s="138"/>
      <c r="BI135" s="137"/>
      <c r="BJ135" s="138"/>
    </row>
    <row r="136" spans="36:62" ht="16.5" customHeight="1">
      <c r="AL136" s="114"/>
      <c r="AM136" s="137">
        <f t="shared" si="104"/>
        <v>8.4</v>
      </c>
      <c r="AN136" s="138">
        <f t="shared" si="83"/>
        <v>1</v>
      </c>
      <c r="AO136" s="141">
        <f t="shared" si="113"/>
        <v>1.6521744993959532E-3</v>
      </c>
      <c r="AP136" s="139">
        <f t="shared" si="105"/>
        <v>28.96834989756163</v>
      </c>
      <c r="AQ136" s="137">
        <f t="shared" si="106"/>
        <v>8.4</v>
      </c>
      <c r="AR136" s="138">
        <f t="shared" si="84"/>
        <v>1</v>
      </c>
      <c r="AS136" s="141">
        <f t="shared" si="114"/>
        <v>2.3611182376896528E-3</v>
      </c>
      <c r="AT136" s="139">
        <f t="shared" si="107"/>
        <v>41.39859275392196</v>
      </c>
      <c r="AU136" s="137">
        <f t="shared" si="108"/>
        <v>8.4</v>
      </c>
      <c r="AV136" s="138">
        <f t="shared" si="85"/>
        <v>1</v>
      </c>
      <c r="AW136" s="141">
        <f t="shared" si="115"/>
        <v>1.0212260473006959E-2</v>
      </c>
      <c r="AX136" s="139">
        <f t="shared" si="109"/>
        <v>179.05634951711349</v>
      </c>
      <c r="AY136" s="137">
        <f t="shared" si="110"/>
        <v>8.4</v>
      </c>
      <c r="AZ136" s="138">
        <f t="shared" si="86"/>
        <v>1</v>
      </c>
      <c r="BA136" s="141">
        <f t="shared" si="116"/>
        <v>1.4877763437035773E-2</v>
      </c>
      <c r="BB136" s="139">
        <f t="shared" si="111"/>
        <v>260.85879977857809</v>
      </c>
      <c r="BC136" s="137">
        <f t="shared" si="99"/>
        <v>8.4</v>
      </c>
      <c r="BD136" s="141">
        <f t="shared" si="112"/>
        <v>1.5740788251264353E-3</v>
      </c>
      <c r="BE136" s="138">
        <f t="shared" si="76"/>
        <v>8.4</v>
      </c>
      <c r="BF136" s="138">
        <f t="shared" si="81"/>
        <v>0.05</v>
      </c>
      <c r="BG136" s="137"/>
      <c r="BH136" s="138"/>
      <c r="BI136" s="137"/>
      <c r="BJ136" s="138"/>
    </row>
    <row r="137" spans="36:62" ht="16.5" customHeight="1">
      <c r="AL137" s="114"/>
      <c r="AM137" s="137">
        <f t="shared" si="104"/>
        <v>8.8000000000000007</v>
      </c>
      <c r="AN137" s="138">
        <f t="shared" si="83"/>
        <v>1</v>
      </c>
      <c r="AO137" s="141">
        <f t="shared" si="113"/>
        <v>1.3727912467896661E-3</v>
      </c>
      <c r="AP137" s="139">
        <f t="shared" si="105"/>
        <v>26.416733585341174</v>
      </c>
      <c r="AQ137" s="137">
        <f t="shared" si="106"/>
        <v>8.8000000000000007</v>
      </c>
      <c r="AR137" s="138">
        <f t="shared" si="84"/>
        <v>1</v>
      </c>
      <c r="AS137" s="141">
        <f t="shared" si="114"/>
        <v>1.9658688671758888E-3</v>
      </c>
      <c r="AT137" s="139">
        <f t="shared" si="107"/>
        <v>37.829374458313907</v>
      </c>
      <c r="AU137" s="137">
        <f t="shared" si="108"/>
        <v>8.8000000000000007</v>
      </c>
      <c r="AV137" s="138">
        <f t="shared" si="85"/>
        <v>1</v>
      </c>
      <c r="AW137" s="141">
        <f t="shared" si="115"/>
        <v>8.4660974377156022E-3</v>
      </c>
      <c r="AX137" s="139">
        <f t="shared" si="109"/>
        <v>162.91380138289799</v>
      </c>
      <c r="AY137" s="137">
        <f t="shared" si="110"/>
        <v>8.8000000000000007</v>
      </c>
      <c r="AZ137" s="138">
        <f t="shared" si="86"/>
        <v>1</v>
      </c>
      <c r="BA137" s="141">
        <f t="shared" si="116"/>
        <v>1.2314635882017901E-2</v>
      </c>
      <c r="BB137" s="139">
        <f t="shared" si="111"/>
        <v>236.97153959606572</v>
      </c>
      <c r="BC137" s="137">
        <f t="shared" si="99"/>
        <v>8.8000000000000007</v>
      </c>
      <c r="BD137" s="141">
        <f t="shared" si="112"/>
        <v>1.3105792447839259E-3</v>
      </c>
      <c r="BE137" s="138">
        <f t="shared" si="76"/>
        <v>8.8000000000000007</v>
      </c>
      <c r="BF137" s="138">
        <f t="shared" si="81"/>
        <v>0.05</v>
      </c>
      <c r="BG137" s="137"/>
      <c r="BH137" s="138"/>
      <c r="BI137" s="137"/>
      <c r="BJ137" s="138"/>
    </row>
    <row r="138" spans="36:62" ht="16.5" customHeight="1">
      <c r="AL138" s="114"/>
      <c r="AM138" s="137">
        <f t="shared" si="104"/>
        <v>9.1999999999999993</v>
      </c>
      <c r="AN138" s="138">
        <f t="shared" si="83"/>
        <v>1</v>
      </c>
      <c r="AO138" s="141">
        <f t="shared" si="113"/>
        <v>1.1346937101300225E-3</v>
      </c>
      <c r="AP138" s="139">
        <f t="shared" si="105"/>
        <v>23.865117273120728</v>
      </c>
      <c r="AQ138" s="137">
        <f t="shared" si="106"/>
        <v>9.1999999999999993</v>
      </c>
      <c r="AR138" s="138">
        <f t="shared" si="84"/>
        <v>1</v>
      </c>
      <c r="AS138" s="141">
        <f t="shared" si="114"/>
        <v>1.6289374680626158E-3</v>
      </c>
      <c r="AT138" s="139">
        <f t="shared" si="107"/>
        <v>34.260156162705869</v>
      </c>
      <c r="AU138" s="137">
        <f t="shared" si="108"/>
        <v>9.1999999999999993</v>
      </c>
      <c r="AV138" s="138">
        <f t="shared" si="85"/>
        <v>1</v>
      </c>
      <c r="AW138" s="141">
        <f t="shared" si="115"/>
        <v>6.9784034992677428E-3</v>
      </c>
      <c r="AX138" s="139">
        <f t="shared" si="109"/>
        <v>146.77125324868257</v>
      </c>
      <c r="AY138" s="137">
        <f t="shared" si="110"/>
        <v>9.1999999999999993</v>
      </c>
      <c r="AZ138" s="138">
        <f t="shared" si="86"/>
        <v>1</v>
      </c>
      <c r="BA138" s="141">
        <f t="shared" si="116"/>
        <v>1.0131330544537909E-2</v>
      </c>
      <c r="BB138" s="139">
        <f t="shared" si="111"/>
        <v>213.08427941355339</v>
      </c>
      <c r="BC138" s="137">
        <f t="shared" si="99"/>
        <v>9.1999999999999993</v>
      </c>
      <c r="BD138" s="141">
        <f t="shared" si="112"/>
        <v>1.0859583120417439E-3</v>
      </c>
      <c r="BE138" s="138">
        <f t="shared" si="76"/>
        <v>9.1999999999999993</v>
      </c>
      <c r="BF138" s="138">
        <f t="shared" si="81"/>
        <v>0.05</v>
      </c>
      <c r="BG138" s="137"/>
      <c r="BH138" s="138"/>
      <c r="BI138" s="137"/>
      <c r="BJ138" s="138"/>
    </row>
    <row r="139" spans="36:62" ht="16.5" customHeight="1">
      <c r="AL139" s="114"/>
      <c r="AM139" s="137">
        <f t="shared" si="104"/>
        <v>9.6</v>
      </c>
      <c r="AN139" s="138">
        <f t="shared" si="83"/>
        <v>1</v>
      </c>
      <c r="AO139" s="141">
        <f t="shared" si="113"/>
        <v>9.3068573241556418E-4</v>
      </c>
      <c r="AP139" s="139">
        <f t="shared" si="105"/>
        <v>21.313500960900271</v>
      </c>
      <c r="AQ139" s="137">
        <f t="shared" si="106"/>
        <v>9.6</v>
      </c>
      <c r="AR139" s="138">
        <f t="shared" si="84"/>
        <v>1</v>
      </c>
      <c r="AS139" s="141">
        <f t="shared" si="114"/>
        <v>1.3401654678769389E-3</v>
      </c>
      <c r="AT139" s="139">
        <f t="shared" si="107"/>
        <v>30.690937867097816</v>
      </c>
      <c r="AU139" s="137">
        <f t="shared" si="108"/>
        <v>9.6</v>
      </c>
      <c r="AV139" s="138">
        <f t="shared" si="85"/>
        <v>1</v>
      </c>
      <c r="AW139" s="141">
        <f t="shared" si="115"/>
        <v>5.7040967749495113E-3</v>
      </c>
      <c r="AX139" s="139">
        <f t="shared" si="109"/>
        <v>130.6287051144671</v>
      </c>
      <c r="AY139" s="137">
        <f t="shared" si="110"/>
        <v>9.6</v>
      </c>
      <c r="AZ139" s="138">
        <f t="shared" si="86"/>
        <v>1</v>
      </c>
      <c r="BA139" s="141">
        <f t="shared" si="116"/>
        <v>8.2615693562924294E-3</v>
      </c>
      <c r="BB139" s="139">
        <f t="shared" si="111"/>
        <v>189.197019231041</v>
      </c>
      <c r="BC139" s="137">
        <f t="shared" si="99"/>
        <v>9.6</v>
      </c>
      <c r="BD139" s="141">
        <f t="shared" si="112"/>
        <v>8.9344364525129267E-4</v>
      </c>
      <c r="BE139" s="138">
        <f t="shared" si="76"/>
        <v>9.6</v>
      </c>
      <c r="BF139" s="138">
        <f t="shared" si="81"/>
        <v>0.05</v>
      </c>
      <c r="BG139" s="137"/>
      <c r="BH139" s="138"/>
      <c r="BI139" s="137"/>
      <c r="BJ139" s="138"/>
    </row>
    <row r="140" spans="36:62" ht="16.5" customHeight="1">
      <c r="AL140" s="111" t="s">
        <v>260</v>
      </c>
      <c r="AM140" s="137">
        <f>$AE$6</f>
        <v>10</v>
      </c>
      <c r="AN140" s="138">
        <f t="shared" si="83"/>
        <v>1</v>
      </c>
      <c r="AO140" s="141">
        <f t="shared" si="113"/>
        <v>7.5503518573431653E-4</v>
      </c>
      <c r="AP140" s="139">
        <f t="shared" si="105"/>
        <v>18.761884648679814</v>
      </c>
      <c r="AQ140" s="137">
        <f>AM140</f>
        <v>10</v>
      </c>
      <c r="AR140" s="138">
        <f t="shared" si="84"/>
        <v>1</v>
      </c>
      <c r="AS140" s="141">
        <f t="shared" si="114"/>
        <v>1.0914603174225755E-3</v>
      </c>
      <c r="AT140" s="139">
        <f t="shared" si="107"/>
        <v>27.121719571489759</v>
      </c>
      <c r="AU140" s="137">
        <f>AM140</f>
        <v>10</v>
      </c>
      <c r="AV140" s="138">
        <f t="shared" si="85"/>
        <v>1</v>
      </c>
      <c r="AW140" s="141">
        <f t="shared" si="115"/>
        <v>4.6072704538067197E-3</v>
      </c>
      <c r="AX140" s="139">
        <f t="shared" si="109"/>
        <v>114.48615698025159</v>
      </c>
      <c r="AY140" s="137">
        <f>AM140</f>
        <v>10</v>
      </c>
      <c r="AZ140" s="138">
        <f t="shared" si="86"/>
        <v>1</v>
      </c>
      <c r="BA140" s="141">
        <f t="shared" si="116"/>
        <v>6.6525664646213201E-3</v>
      </c>
      <c r="BB140" s="139">
        <f t="shared" si="111"/>
        <v>165.3097590485286</v>
      </c>
      <c r="BC140" s="137">
        <f t="shared" si="99"/>
        <v>10</v>
      </c>
      <c r="BD140" s="141">
        <f t="shared" si="112"/>
        <v>7.2764021161505035E-4</v>
      </c>
      <c r="BE140" s="138">
        <f t="shared" si="76"/>
        <v>10</v>
      </c>
      <c r="BF140" s="138">
        <f t="shared" si="81"/>
        <v>0.05</v>
      </c>
      <c r="BG140" s="137"/>
      <c r="BH140" s="138"/>
      <c r="BI140" s="137"/>
      <c r="BJ140" s="138"/>
    </row>
    <row r="141" spans="36:62" ht="16.5" customHeight="1">
      <c r="AL141" s="114"/>
      <c r="AM141" s="137"/>
      <c r="AN141" s="138"/>
      <c r="AO141" s="138"/>
      <c r="AP141" s="139"/>
      <c r="AQ141" s="137"/>
      <c r="AR141" s="138"/>
      <c r="AS141" s="138"/>
      <c r="AT141" s="139"/>
      <c r="AU141" s="137"/>
      <c r="AV141" s="138"/>
      <c r="AW141" s="138"/>
      <c r="AX141" s="139"/>
      <c r="AY141" s="137"/>
      <c r="AZ141" s="138"/>
      <c r="BA141" s="138"/>
      <c r="BB141" s="139"/>
      <c r="BC141" s="137"/>
      <c r="BD141" s="138"/>
      <c r="BE141" s="138"/>
      <c r="BF141" s="138"/>
      <c r="BG141" s="137"/>
      <c r="BH141" s="138"/>
      <c r="BI141" s="137"/>
      <c r="BJ141" s="138"/>
    </row>
    <row r="152" spans="56:58" ht="16.5" customHeight="1">
      <c r="BD152" s="138"/>
      <c r="BE152" s="138"/>
      <c r="BF152" s="138"/>
    </row>
    <row r="242" spans="3:3" ht="16.5" customHeight="1">
      <c r="C242" s="108" t="s">
        <v>169</v>
      </c>
    </row>
  </sheetData>
  <sheetProtection sheet="1" selectLockedCells="1"/>
  <protectedRanges>
    <protectedRange sqref="B12:B13 E12:E13" name="Intervallo5_1"/>
  </protectedRanges>
  <mergeCells count="6">
    <mergeCell ref="AA19:AC19"/>
    <mergeCell ref="AA1:AE1"/>
    <mergeCell ref="B3:E3"/>
    <mergeCell ref="F5:I5"/>
    <mergeCell ref="AA9:AC9"/>
    <mergeCell ref="AA13:AC13"/>
  </mergeCells>
  <conditionalFormatting sqref="D12:E12">
    <cfRule type="expression" dxfId="94" priority="6">
      <formula>OR($B$12="T1",$B$12="")</formula>
    </cfRule>
    <cfRule type="expression" dxfId="93" priority="7">
      <formula>OR($B$12="T1",$B$12="")</formula>
    </cfRule>
  </conditionalFormatting>
  <conditionalFormatting sqref="D13:E13 D23">
    <cfRule type="expression" dxfId="92" priority="5">
      <formula>$A$26="ordinaria"</formula>
    </cfRule>
  </conditionalFormatting>
  <conditionalFormatting sqref="D13:E13">
    <cfRule type="expression" dxfId="91" priority="4">
      <formula>$A$26="ordinaria"</formula>
    </cfRule>
  </conditionalFormatting>
  <conditionalFormatting sqref="D23:E23">
    <cfRule type="expression" dxfId="90" priority="3">
      <formula>$A$26="ordinaria"</formula>
    </cfRule>
  </conditionalFormatting>
  <conditionalFormatting sqref="F5 F6:I10">
    <cfRule type="expression" dxfId="89" priority="2">
      <formula>AND($E$14&lt;&gt;"",$E$14&lt;&gt;"II")</formula>
    </cfRule>
  </conditionalFormatting>
  <conditionalFormatting sqref="F7:I10">
    <cfRule type="expression" dxfId="88" priority="1">
      <formula>AND($E$14&lt;&gt;"II",$E$14&lt;&gt;"")</formula>
    </cfRule>
  </conditionalFormatting>
  <dataValidations count="3">
    <dataValidation type="list" allowBlank="1" showInputMessage="1" showErrorMessage="1" sqref="E14" xr:uid="{BE1DF1B1-0195-4A5E-AA30-BC9D429F879C}">
      <formula1>"I,II,III,IV"</formula1>
    </dataValidation>
    <dataValidation type="list" allowBlank="1" showInputMessage="1" showErrorMessage="1" sqref="B14" xr:uid="{2C82F1DA-FA2D-4FD4-B1BE-00ADD35F747A}">
      <formula1>"A,B,C,D,E"</formula1>
    </dataValidation>
    <dataValidation type="list" allowBlank="1" showInputMessage="1" showErrorMessage="1" sqref="B12" xr:uid="{E02560E0-9264-4517-9E03-A466F08DEAB3}">
      <formula1>"T1,T2,T3,T4"</formula1>
    </dataValidation>
  </dataValidations>
  <pageMargins left="0.7" right="0.7" top="0.75" bottom="0.75" header="0.3" footer="0.3"/>
  <pageSetup paperSize="9" orientation="portrait" r:id="rId1"/>
  <ignoredErrors>
    <ignoredError sqref="AD48 BH18:BH120 AN16:BE17 BI18:BI104" formula="1"/>
  </ignoredErrors>
  <drawing r:id="rId2"/>
  <legacyDrawing r:id="rId3"/>
  <oleObjects>
    <mc:AlternateContent xmlns:mc="http://schemas.openxmlformats.org/markup-compatibility/2006">
      <mc:Choice Requires="x14">
        <oleObject progId="Equation.DSMT4" shapeId="3073" r:id="rId4">
          <objectPr defaultSize="0" r:id="rId5">
            <anchor moveWithCells="1">
              <from>
                <xdr:col>31</xdr:col>
                <xdr:colOff>42863</xdr:colOff>
                <xdr:row>0</xdr:row>
                <xdr:rowOff>90488</xdr:rowOff>
              </from>
              <to>
                <xdr:col>34</xdr:col>
                <xdr:colOff>142875</xdr:colOff>
                <xdr:row>2</xdr:row>
                <xdr:rowOff>166688</xdr:rowOff>
              </to>
            </anchor>
          </objectPr>
        </oleObject>
      </mc:Choice>
      <mc:Fallback>
        <oleObject progId="Equation.DSMT4" shapeId="3073" r:id="rId4"/>
      </mc:Fallback>
    </mc:AlternateContent>
    <mc:AlternateContent xmlns:mc="http://schemas.openxmlformats.org/markup-compatibility/2006">
      <mc:Choice Requires="x14">
        <oleObject progId="Equation.DSMT4" shapeId="3074" r:id="rId6">
          <objectPr defaultSize="0" r:id="rId7">
            <anchor moveWithCells="1">
              <from>
                <xdr:col>31</xdr:col>
                <xdr:colOff>42863</xdr:colOff>
                <xdr:row>3</xdr:row>
                <xdr:rowOff>19050</xdr:rowOff>
              </from>
              <to>
                <xdr:col>32</xdr:col>
                <xdr:colOff>623888</xdr:colOff>
                <xdr:row>4</xdr:row>
                <xdr:rowOff>166688</xdr:rowOff>
              </to>
            </anchor>
          </objectPr>
        </oleObject>
      </mc:Choice>
      <mc:Fallback>
        <oleObject progId="Equation.DSMT4" shapeId="3074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075C0-18FF-4A03-B953-08791F817E31}">
  <dimension ref="A1:BJ242"/>
  <sheetViews>
    <sheetView zoomScale="85" zoomScaleNormal="85" workbookViewId="0">
      <selection activeCell="D1" sqref="D1"/>
    </sheetView>
  </sheetViews>
  <sheetFormatPr defaultColWidth="9.1328125" defaultRowHeight="16.5" customHeight="1"/>
  <cols>
    <col min="1" max="1" width="22.59765625" style="54" bestFit="1" customWidth="1"/>
    <col min="2" max="2" width="8.1328125" style="54" customWidth="1"/>
    <col min="3" max="9" width="8.1328125" style="108" customWidth="1"/>
    <col min="10" max="10" width="3.73046875" style="108" customWidth="1"/>
    <col min="11" max="17" width="9.1328125" style="108"/>
    <col min="18" max="18" width="3.73046875" style="108" customWidth="1"/>
    <col min="19" max="32" width="9.1328125" style="108"/>
    <col min="33" max="37" width="9.1328125" style="108" customWidth="1"/>
    <col min="38" max="38" width="6.59765625" style="110" customWidth="1"/>
    <col min="39" max="40" width="6.59765625" style="140" customWidth="1"/>
    <col min="41" max="42" width="6.59765625" style="105" customWidth="1"/>
    <col min="43" max="44" width="6.59765625" style="140" customWidth="1"/>
    <col min="45" max="46" width="6.59765625" style="105" customWidth="1"/>
    <col min="47" max="48" width="6.59765625" style="140" customWidth="1"/>
    <col min="49" max="50" width="6.59765625" style="105" customWidth="1"/>
    <col min="51" max="52" width="6.59765625" style="140" customWidth="1"/>
    <col min="53" max="54" width="6.59765625" style="105" customWidth="1"/>
    <col min="55" max="55" width="6.59765625" style="140" customWidth="1"/>
    <col min="56" max="56" width="6.59765625" style="105" customWidth="1"/>
    <col min="57" max="57" width="6.59765625" style="140" customWidth="1"/>
    <col min="58" max="58" width="6.59765625" style="105" customWidth="1"/>
    <col min="59" max="62" width="6.59765625" style="140" customWidth="1"/>
    <col min="63" max="16384" width="9.1328125" style="108"/>
  </cols>
  <sheetData>
    <row r="1" spans="1:62" ht="16.5" customHeight="1">
      <c r="A1" s="107" t="s">
        <v>0</v>
      </c>
      <c r="B1" s="108"/>
      <c r="C1" s="54" t="s">
        <v>154</v>
      </c>
      <c r="D1" s="54" t="s">
        <v>155</v>
      </c>
      <c r="E1" s="109">
        <v>45582</v>
      </c>
      <c r="AA1" s="156" t="s">
        <v>8</v>
      </c>
      <c r="AB1" s="156"/>
      <c r="AC1" s="156"/>
      <c r="AD1" s="156"/>
      <c r="AE1" s="156"/>
      <c r="AL1" s="110" t="s">
        <v>217</v>
      </c>
      <c r="AM1" s="137"/>
      <c r="AN1" s="138"/>
      <c r="AO1" s="138">
        <f>C17</f>
        <v>9.1499999999999998E-2</v>
      </c>
      <c r="AP1" s="139"/>
      <c r="AQ1" s="137"/>
      <c r="AR1" s="138"/>
      <c r="AS1" s="138">
        <f>C18</f>
        <v>0.123</v>
      </c>
      <c r="AT1" s="139"/>
      <c r="AU1" s="137"/>
      <c r="AV1" s="138"/>
      <c r="AW1" s="138">
        <f>C19</f>
        <v>0.33462500000000001</v>
      </c>
      <c r="AX1" s="139"/>
      <c r="AY1" s="137"/>
      <c r="AZ1" s="138"/>
      <c r="BA1" s="138">
        <f>C20</f>
        <v>0.40771089300000007</v>
      </c>
      <c r="BB1" s="139"/>
      <c r="BC1" s="137"/>
      <c r="BD1" s="138"/>
      <c r="BE1" s="138"/>
      <c r="BF1" s="138"/>
      <c r="BG1" s="137"/>
      <c r="BH1" s="138">
        <f>C8</f>
        <v>8.2000000000000003E-2</v>
      </c>
      <c r="BI1" s="137"/>
      <c r="BJ1" s="138">
        <f>C9</f>
        <v>0.25</v>
      </c>
    </row>
    <row r="2" spans="1:62" ht="16.5" customHeight="1">
      <c r="AB2" s="110" t="s">
        <v>218</v>
      </c>
      <c r="AC2" s="110" t="s">
        <v>219</v>
      </c>
      <c r="AD2" s="110" t="s">
        <v>220</v>
      </c>
      <c r="AE2" s="110" t="s">
        <v>221</v>
      </c>
      <c r="AL2" s="110" t="s">
        <v>222</v>
      </c>
      <c r="AM2" s="137"/>
      <c r="AN2" s="138"/>
      <c r="AO2" s="138">
        <f>D17</f>
        <v>0.14916396716852898</v>
      </c>
      <c r="AP2" s="139"/>
      <c r="AQ2" s="137"/>
      <c r="AR2" s="138"/>
      <c r="AS2" s="138">
        <f>D18</f>
        <v>0.15341737754593213</v>
      </c>
      <c r="AT2" s="139"/>
      <c r="AU2" s="137"/>
      <c r="AV2" s="138"/>
      <c r="AW2" s="138">
        <f>D19</f>
        <v>0.17651869980007165</v>
      </c>
      <c r="AX2" s="139"/>
      <c r="AY2" s="137"/>
      <c r="AZ2" s="138"/>
      <c r="BA2" s="138">
        <f>D20</f>
        <v>0.18399720371942338</v>
      </c>
      <c r="BB2" s="139"/>
      <c r="BC2" s="137"/>
      <c r="BD2" s="138"/>
      <c r="BE2" s="138"/>
      <c r="BF2" s="138"/>
      <c r="BG2" s="137"/>
      <c r="BH2" s="138">
        <v>0.05</v>
      </c>
      <c r="BI2" s="137"/>
      <c r="BJ2" s="138">
        <v>0.05</v>
      </c>
    </row>
    <row r="3" spans="1:62" ht="16.5" customHeight="1">
      <c r="A3" s="54" t="s">
        <v>2</v>
      </c>
      <c r="B3" s="159" t="str">
        <f>'Spettri x'!$B$3</f>
        <v>Piazza Cairoli, Messina</v>
      </c>
      <c r="C3" s="159"/>
      <c r="D3" s="159"/>
      <c r="E3" s="159"/>
      <c r="AA3" s="110" t="s">
        <v>223</v>
      </c>
      <c r="AB3" s="110">
        <f>IF(OR(B14="",B14="A"),1,IF(B14="B",1.4,IF(B14="C",1.7,IF(B14="D",2.4,2))))</f>
        <v>1.7</v>
      </c>
      <c r="AC3" s="110">
        <f>IF(OR(B14="",B14="A"),0,IF(B14="B",0.4,IF(B14="C",0.6,IF(B14="D",1.5,1.1))))</f>
        <v>0.6</v>
      </c>
      <c r="AD3" s="110">
        <f>IF(OR(B14="",B14="A"),1,IF(B14="B",1,IF(B14="C",1,IF(B14="D",0.9,1))))</f>
        <v>1</v>
      </c>
      <c r="AE3" s="110">
        <f>IF(OR(B14="",B14="A"),1,IF(B14="B",1.2,IF(B14="C",1.5,IF(B14="D",1.8,1.6))))</f>
        <v>1.5</v>
      </c>
      <c r="AL3" s="110" t="s">
        <v>224</v>
      </c>
      <c r="AM3" s="137"/>
      <c r="AN3" s="138"/>
      <c r="AO3" s="138">
        <f>E17</f>
        <v>0.44749190150558693</v>
      </c>
      <c r="AP3" s="139"/>
      <c r="AQ3" s="137"/>
      <c r="AR3" s="138"/>
      <c r="AS3" s="138">
        <f>E18</f>
        <v>0.46025213263779635</v>
      </c>
      <c r="AT3" s="139"/>
      <c r="AU3" s="137"/>
      <c r="AV3" s="138"/>
      <c r="AW3" s="138">
        <f>E19</f>
        <v>0.52955609940021497</v>
      </c>
      <c r="AX3" s="139"/>
      <c r="AY3" s="137"/>
      <c r="AZ3" s="138"/>
      <c r="BA3" s="138">
        <f>E20</f>
        <v>0.55199161115827011</v>
      </c>
      <c r="BB3" s="139"/>
      <c r="BC3" s="137"/>
      <c r="BD3" s="138"/>
      <c r="BE3" s="138"/>
      <c r="BF3" s="138"/>
      <c r="BG3" s="137"/>
      <c r="BH3" s="138">
        <v>0.15</v>
      </c>
      <c r="BI3" s="137"/>
      <c r="BJ3" s="138">
        <v>0.15</v>
      </c>
    </row>
    <row r="4" spans="1:62" ht="16.5" customHeight="1">
      <c r="S4" s="54"/>
      <c r="T4" s="54"/>
      <c r="U4" s="54"/>
      <c r="V4" s="54"/>
      <c r="W4" s="54"/>
      <c r="X4" s="54"/>
      <c r="Y4" s="54"/>
      <c r="AB4" s="110" t="s">
        <v>225</v>
      </c>
      <c r="AC4" s="110" t="s">
        <v>226</v>
      </c>
      <c r="AF4" s="54"/>
      <c r="AG4" s="54"/>
      <c r="AL4" s="110" t="s">
        <v>227</v>
      </c>
      <c r="AM4" s="137"/>
      <c r="AN4" s="138"/>
      <c r="AO4" s="138">
        <f>F17</f>
        <v>1.8440000000000001</v>
      </c>
      <c r="AP4" s="139"/>
      <c r="AQ4" s="137"/>
      <c r="AR4" s="138"/>
      <c r="AS4" s="138">
        <f>F18</f>
        <v>1.9280000000000002</v>
      </c>
      <c r="AT4" s="139"/>
      <c r="AU4" s="137"/>
      <c r="AV4" s="138"/>
      <c r="AW4" s="138">
        <f>F19</f>
        <v>2.6</v>
      </c>
      <c r="AX4" s="139"/>
      <c r="AY4" s="137"/>
      <c r="AZ4" s="138"/>
      <c r="BA4" s="138">
        <f>F20</f>
        <v>2.9560000000000004</v>
      </c>
      <c r="BB4" s="139"/>
      <c r="BG4" s="137"/>
      <c r="BH4" s="138">
        <v>1</v>
      </c>
      <c r="BI4" s="137"/>
      <c r="BJ4" s="138">
        <v>1</v>
      </c>
    </row>
    <row r="5" spans="1:62" ht="16.5" customHeight="1">
      <c r="A5" s="54" t="s">
        <v>10</v>
      </c>
      <c r="F5" s="158" t="str">
        <f>"per la classe d'uso indicata, diversa da II"</f>
        <v>per la classe d'uso indicata, diversa da II</v>
      </c>
      <c r="G5" s="158"/>
      <c r="H5" s="158"/>
      <c r="I5" s="158"/>
      <c r="AA5" s="110" t="s">
        <v>228</v>
      </c>
      <c r="AB5" s="110">
        <f>IF(OR(B14="",B14="A"),1,IF(B14="B",1.1,IF(B14="C",1.05,IF(B14="D",1.25,1.15))))</f>
        <v>1.05</v>
      </c>
      <c r="AC5" s="110">
        <f>IF(OR(B14="",B14="A"),0,IF(B14="B",0.2,IF(B14="C",0.33,IF(B14="D",0.5,0.4))))</f>
        <v>0.33</v>
      </c>
      <c r="AD5" s="112"/>
      <c r="AE5" s="112"/>
      <c r="AL5" s="110" t="s">
        <v>229</v>
      </c>
      <c r="AM5" s="137"/>
      <c r="AN5" s="138"/>
      <c r="AO5" s="138">
        <f>G17</f>
        <v>6</v>
      </c>
      <c r="AP5" s="139"/>
      <c r="AQ5" s="137"/>
      <c r="AR5" s="138"/>
      <c r="AS5" s="138">
        <f>G18</f>
        <v>6</v>
      </c>
      <c r="AT5" s="139"/>
      <c r="AU5" s="137"/>
      <c r="AV5" s="138"/>
      <c r="AW5" s="138">
        <f>G19</f>
        <v>6</v>
      </c>
      <c r="AX5" s="139"/>
      <c r="AY5" s="137"/>
      <c r="AZ5" s="138"/>
      <c r="BA5" s="138">
        <f>G20</f>
        <v>6</v>
      </c>
      <c r="BB5" s="139"/>
      <c r="BC5" s="137"/>
      <c r="BD5" s="138"/>
      <c r="BE5" s="138"/>
      <c r="BF5" s="138"/>
      <c r="BG5" s="137"/>
      <c r="BI5" s="137"/>
    </row>
    <row r="6" spans="1:62" ht="16.5" customHeight="1">
      <c r="A6" s="54" t="s">
        <v>11</v>
      </c>
      <c r="B6" s="54" t="s">
        <v>230</v>
      </c>
      <c r="C6" s="54" t="s">
        <v>231</v>
      </c>
      <c r="D6" s="54" t="s">
        <v>232</v>
      </c>
      <c r="E6" s="54" t="s">
        <v>233</v>
      </c>
      <c r="F6" s="113" t="s">
        <v>234</v>
      </c>
      <c r="G6" s="113" t="s">
        <v>235</v>
      </c>
      <c r="H6" s="113" t="s">
        <v>236</v>
      </c>
      <c r="I6" s="113" t="s">
        <v>237</v>
      </c>
      <c r="AA6" s="110" t="s">
        <v>12</v>
      </c>
      <c r="AB6" s="111">
        <f>IF(B13="",1,MAX(SQRT(10/(5+B13*100)),0.55))</f>
        <v>1</v>
      </c>
      <c r="AC6" s="112"/>
      <c r="AD6" s="110" t="s">
        <v>260</v>
      </c>
      <c r="AE6" s="110">
        <v>10</v>
      </c>
      <c r="AL6" s="114" t="s">
        <v>238</v>
      </c>
      <c r="AM6" s="137"/>
      <c r="AN6" s="138"/>
      <c r="AO6" s="141">
        <f>H17</f>
        <v>0.21593999999999999</v>
      </c>
      <c r="AP6" s="139"/>
      <c r="AQ6" s="137"/>
      <c r="AR6" s="138"/>
      <c r="AS6" s="141">
        <f>H18</f>
        <v>0.28486799999999995</v>
      </c>
      <c r="AT6" s="139"/>
      <c r="AU6" s="137"/>
      <c r="AV6" s="138"/>
      <c r="AW6" s="141">
        <f>H19</f>
        <v>0.80644625000000003</v>
      </c>
      <c r="AX6" s="139"/>
      <c r="AY6" s="137"/>
      <c r="AZ6" s="138"/>
      <c r="BA6" s="141">
        <f>H20</f>
        <v>0.99685313338500015</v>
      </c>
      <c r="BG6" s="137"/>
      <c r="BH6" s="138"/>
      <c r="BI6" s="137"/>
      <c r="BJ6" s="138"/>
    </row>
    <row r="7" spans="1:62" ht="16.5" customHeight="1">
      <c r="A7" s="54" t="s">
        <v>4</v>
      </c>
      <c r="B7" s="148">
        <f>'Spettri x'!$B7</f>
        <v>30</v>
      </c>
      <c r="C7" s="149">
        <f>'Spettri x'!$C7</f>
        <v>6.0999999999999999E-2</v>
      </c>
      <c r="D7" s="149">
        <f>'Spettri x'!$D7</f>
        <v>2.36</v>
      </c>
      <c r="E7" s="149">
        <f>'Spettri x'!$E7</f>
        <v>0.28000000000000003</v>
      </c>
      <c r="F7" s="117">
        <f>'Spettri x'!F7</f>
        <v>30</v>
      </c>
      <c r="G7" s="118">
        <f>'Spettri x'!G7</f>
        <v>6.0999999999999999E-2</v>
      </c>
      <c r="H7" s="118">
        <f>'Spettri x'!H7</f>
        <v>2.36</v>
      </c>
      <c r="I7" s="118">
        <f>'Spettri x'!I7</f>
        <v>0.28000000000000003</v>
      </c>
      <c r="AA7" s="110" t="s">
        <v>213</v>
      </c>
      <c r="AB7" s="111">
        <f>IF(A26="ordinaria",AB6,MAX(SQRT(10/(5+E13*100)),0.55))</f>
        <v>1</v>
      </c>
      <c r="AC7" s="112"/>
      <c r="AD7" s="110" t="s">
        <v>239</v>
      </c>
      <c r="AE7" s="110">
        <f>IF(A26="ordinaria",3,E23)</f>
        <v>3</v>
      </c>
      <c r="AL7" s="114" t="s">
        <v>273</v>
      </c>
      <c r="AM7" s="137"/>
      <c r="AN7" s="138"/>
      <c r="AO7" s="141">
        <f>IF(OR(D7="",C17="",E17=""),"",C17*H7)</f>
        <v>0.21593999999999999</v>
      </c>
      <c r="AP7" s="139"/>
      <c r="AQ7" s="137"/>
      <c r="AR7" s="138"/>
      <c r="AS7" s="141">
        <f>IF(OR(D8="",C18="",E18=""),"",C18*H8)</f>
        <v>0.28486799999999995</v>
      </c>
      <c r="AT7" s="139"/>
      <c r="AU7" s="137"/>
      <c r="AV7" s="138"/>
      <c r="AW7" s="141">
        <f>IF(OR(D9="",C19="",E19=""),"",C19*H9)</f>
        <v>0.80644625000000003</v>
      </c>
      <c r="AX7" s="139"/>
      <c r="AY7" s="137"/>
      <c r="AZ7" s="138"/>
      <c r="BA7" s="141">
        <f>IF(OR(D10="",C20="",E20=""),"",C20*H10)</f>
        <v>0.99685313338500015</v>
      </c>
      <c r="BG7" s="137"/>
      <c r="BH7" s="138"/>
      <c r="BI7" s="137"/>
      <c r="BJ7" s="138"/>
    </row>
    <row r="8" spans="1:62" ht="16.5" customHeight="1">
      <c r="A8" s="54" t="s">
        <v>5</v>
      </c>
      <c r="B8" s="148">
        <f>'Spettri x'!$B8</f>
        <v>50</v>
      </c>
      <c r="C8" s="149">
        <f>'Spettri x'!$C8</f>
        <v>8.2000000000000003E-2</v>
      </c>
      <c r="D8" s="149">
        <f>'Spettri x'!$D8</f>
        <v>2.3159999999999998</v>
      </c>
      <c r="E8" s="149">
        <f>'Spettri x'!$E8</f>
        <v>0.29199999999999998</v>
      </c>
      <c r="F8" s="117">
        <f>'Spettri x'!F8</f>
        <v>50</v>
      </c>
      <c r="G8" s="118">
        <f>'Spettri x'!G8</f>
        <v>8.2000000000000003E-2</v>
      </c>
      <c r="H8" s="118">
        <f>'Spettri x'!H8</f>
        <v>2.3159999999999998</v>
      </c>
      <c r="I8" s="118">
        <f>'Spettri x'!I8</f>
        <v>0.29199999999999998</v>
      </c>
      <c r="AA8" s="110"/>
      <c r="AB8" s="111"/>
      <c r="AC8" s="112"/>
      <c r="AD8" s="110"/>
      <c r="AE8" s="110"/>
      <c r="AL8" s="114" t="s">
        <v>151</v>
      </c>
      <c r="AM8" s="137"/>
      <c r="AN8" s="138"/>
      <c r="AO8" s="138">
        <f>D7</f>
        <v>2.36</v>
      </c>
      <c r="AP8" s="139"/>
      <c r="AQ8" s="137"/>
      <c r="AR8" s="138"/>
      <c r="AS8" s="138">
        <f>D8</f>
        <v>2.3159999999999998</v>
      </c>
      <c r="AT8" s="139"/>
      <c r="AU8" s="137"/>
      <c r="AV8" s="138"/>
      <c r="AW8" s="138">
        <f>D9</f>
        <v>2.41</v>
      </c>
      <c r="AX8" s="139"/>
      <c r="AY8" s="137"/>
      <c r="AZ8" s="138"/>
      <c r="BA8" s="138">
        <f>D10</f>
        <v>2.4449999999999998</v>
      </c>
      <c r="BC8" s="137"/>
      <c r="BD8" s="138"/>
      <c r="BE8" s="138"/>
      <c r="BF8" s="138"/>
      <c r="BG8" s="137"/>
      <c r="BH8" s="138"/>
      <c r="BI8" s="137"/>
      <c r="BJ8" s="138"/>
    </row>
    <row r="9" spans="1:62" ht="16.5" customHeight="1">
      <c r="A9" s="54" t="s">
        <v>6</v>
      </c>
      <c r="B9" s="148">
        <f>'Spettri x'!$B9</f>
        <v>475</v>
      </c>
      <c r="C9" s="149">
        <f>'Spettri x'!$C9</f>
        <v>0.25</v>
      </c>
      <c r="D9" s="149">
        <f>'Spettri x'!$D9</f>
        <v>2.41</v>
      </c>
      <c r="E9" s="149">
        <f>'Spettri x'!$E9</f>
        <v>0.36</v>
      </c>
      <c r="F9" s="117">
        <f>'Spettri x'!F9</f>
        <v>475</v>
      </c>
      <c r="G9" s="118">
        <f>'Spettri x'!G9</f>
        <v>0.25</v>
      </c>
      <c r="H9" s="118">
        <f>'Spettri x'!H9</f>
        <v>2.41</v>
      </c>
      <c r="I9" s="118">
        <f>'Spettri x'!I9</f>
        <v>0.36</v>
      </c>
      <c r="AA9" s="156" t="s">
        <v>156</v>
      </c>
      <c r="AB9" s="156"/>
      <c r="AC9" s="156"/>
      <c r="AD9" s="110"/>
      <c r="AE9" s="110"/>
      <c r="BC9" s="137"/>
      <c r="BD9" s="138"/>
      <c r="BE9" s="138"/>
      <c r="BF9" s="138"/>
      <c r="BG9" s="137"/>
      <c r="BH9" s="141">
        <f>BH10*BH1*AB6</f>
        <v>7.3416402911761353E-2</v>
      </c>
      <c r="BI9" s="142"/>
      <c r="BJ9" s="141">
        <f>BJ10*BJ1*AB6</f>
        <v>0.40668750000000004</v>
      </c>
    </row>
    <row r="10" spans="1:62" ht="16.5" customHeight="1">
      <c r="A10" s="54" t="s">
        <v>7</v>
      </c>
      <c r="B10" s="148">
        <f>'Spettri x'!$B10</f>
        <v>975</v>
      </c>
      <c r="C10" s="149">
        <f>'Spettri x'!$C10</f>
        <v>0.33900000000000002</v>
      </c>
      <c r="D10" s="149">
        <f>'Spettri x'!$D10</f>
        <v>2.4449999999999998</v>
      </c>
      <c r="E10" s="149">
        <f>'Spettri x'!$E10</f>
        <v>0.38300000000000001</v>
      </c>
      <c r="F10" s="117">
        <f>'Spettri x'!F10</f>
        <v>975</v>
      </c>
      <c r="G10" s="118">
        <f>'Spettri x'!G10</f>
        <v>0.33900000000000002</v>
      </c>
      <c r="H10" s="118">
        <f>'Spettri x'!H10</f>
        <v>2.4449999999999998</v>
      </c>
      <c r="I10" s="118">
        <f>'Spettri x'!I10</f>
        <v>0.38300000000000001</v>
      </c>
      <c r="AA10" s="112" t="str">
        <f>CONCATENATE(B3," - spettri elastici, ag/g")</f>
        <v>Piazza Cairoli, Messina - spettri elastici, ag/g</v>
      </c>
      <c r="BD10" s="138"/>
      <c r="BE10" s="138"/>
      <c r="BF10" s="138"/>
      <c r="BG10" s="137"/>
      <c r="BH10" s="138">
        <f>1.35*D8*C8^0.5</f>
        <v>0.89532198672879693</v>
      </c>
      <c r="BI10" s="137"/>
      <c r="BJ10" s="138">
        <f>1.35*D9*C9^0.5</f>
        <v>1.6267500000000001</v>
      </c>
    </row>
    <row r="11" spans="1:62" ht="16.5" customHeight="1">
      <c r="AA11" s="112" t="str">
        <f>CONCATENATE(B3," - spettri elastici, spo [mm]")</f>
        <v>Piazza Cairoli, Messina - spettri elastici, spo [mm]</v>
      </c>
      <c r="AM11" s="140" t="s">
        <v>261</v>
      </c>
    </row>
    <row r="12" spans="1:62" ht="16.5" customHeight="1">
      <c r="A12" s="54" t="s">
        <v>13</v>
      </c>
      <c r="B12" s="148" t="str">
        <f>'Spettri x'!B12</f>
        <v>T1</v>
      </c>
      <c r="C12" s="119" t="str">
        <f>IF(B12=""," def. T1","")</f>
        <v/>
      </c>
      <c r="D12" s="54" t="s">
        <v>15</v>
      </c>
      <c r="E12" s="150">
        <f>IF(B12="T1",0,'Spettri x'!E12)</f>
        <v>0</v>
      </c>
      <c r="F12" s="120" t="str">
        <f>IF(OR(E12&lt;0,E12&gt;1),"errore","")</f>
        <v/>
      </c>
      <c r="BC12" s="140" t="s">
        <v>1</v>
      </c>
      <c r="BE12" s="140" t="s">
        <v>1</v>
      </c>
    </row>
    <row r="13" spans="1:62" ht="16.5" customHeight="1">
      <c r="A13" s="54" t="s">
        <v>276</v>
      </c>
      <c r="B13" s="150">
        <f>'Spettri x'!B13</f>
        <v>0.05</v>
      </c>
      <c r="C13" s="119" t="str">
        <f>IF(B13=""," def. 5%","")</f>
        <v/>
      </c>
      <c r="D13" s="151" t="s">
        <v>277</v>
      </c>
      <c r="E13" s="150" t="str">
        <f>'Spettri x'!E13</f>
        <v/>
      </c>
      <c r="AA13" s="156" t="s">
        <v>157</v>
      </c>
      <c r="AB13" s="156"/>
      <c r="AC13" s="156"/>
      <c r="AM13" s="143" t="s">
        <v>4</v>
      </c>
      <c r="AN13" s="105"/>
      <c r="AO13" s="105" t="s">
        <v>158</v>
      </c>
      <c r="AP13" s="105" t="s">
        <v>159</v>
      </c>
      <c r="AQ13" s="143" t="s">
        <v>5</v>
      </c>
      <c r="AR13" s="105"/>
      <c r="AU13" s="143" t="s">
        <v>6</v>
      </c>
      <c r="AV13" s="105"/>
      <c r="AY13" s="143" t="s">
        <v>7</v>
      </c>
      <c r="AZ13" s="105"/>
      <c r="BC13" s="143" t="s">
        <v>5</v>
      </c>
      <c r="BE13" s="105" t="s">
        <v>6</v>
      </c>
      <c r="BG13" s="143" t="s">
        <v>5</v>
      </c>
      <c r="BH13" s="105" t="s">
        <v>160</v>
      </c>
      <c r="BI13" s="143" t="s">
        <v>6</v>
      </c>
      <c r="BJ13" s="105" t="s">
        <v>160</v>
      </c>
    </row>
    <row r="14" spans="1:62" ht="16.5" customHeight="1">
      <c r="A14" s="54" t="s">
        <v>16</v>
      </c>
      <c r="B14" s="148" t="str">
        <f>'Spettri x'!B14</f>
        <v>C</v>
      </c>
      <c r="C14" s="119" t="str">
        <f>IF(B14=""," def. A","")</f>
        <v/>
      </c>
      <c r="D14" s="108" t="s">
        <v>161</v>
      </c>
      <c r="E14" s="148" t="str">
        <f>'Spettri x'!E14</f>
        <v>II</v>
      </c>
      <c r="G14" s="54" t="s">
        <v>240</v>
      </c>
      <c r="H14" s="124">
        <f>IF(E14="",1,IF(E14="I",0.7,IF(E14="II",1,IF(E14="III",1.5,2))))</f>
        <v>1</v>
      </c>
      <c r="AA14" s="110" t="s">
        <v>241</v>
      </c>
      <c r="AB14" s="110" t="s">
        <v>242</v>
      </c>
      <c r="AC14" s="110" t="s">
        <v>243</v>
      </c>
      <c r="AM14" s="143" t="s">
        <v>9</v>
      </c>
      <c r="AN14" s="105" t="s">
        <v>12</v>
      </c>
      <c r="AO14" s="105" t="s">
        <v>262</v>
      </c>
      <c r="AP14" s="105" t="s">
        <v>263</v>
      </c>
      <c r="AQ14" s="143" t="s">
        <v>9</v>
      </c>
      <c r="AR14" s="105" t="s">
        <v>12</v>
      </c>
      <c r="AS14" s="105" t="s">
        <v>262</v>
      </c>
      <c r="AT14" s="105" t="s">
        <v>263</v>
      </c>
      <c r="AU14" s="143" t="s">
        <v>9</v>
      </c>
      <c r="AV14" s="105" t="s">
        <v>12</v>
      </c>
      <c r="AW14" s="105" t="s">
        <v>262</v>
      </c>
      <c r="AX14" s="105" t="s">
        <v>263</v>
      </c>
      <c r="AY14" s="143" t="s">
        <v>9</v>
      </c>
      <c r="AZ14" s="105" t="s">
        <v>12</v>
      </c>
      <c r="BA14" s="105" t="s">
        <v>262</v>
      </c>
      <c r="BB14" s="105" t="s">
        <v>263</v>
      </c>
      <c r="BC14" s="143" t="s">
        <v>9</v>
      </c>
      <c r="BD14" s="105" t="s">
        <v>264</v>
      </c>
      <c r="BE14" s="105" t="s">
        <v>9</v>
      </c>
      <c r="BF14" s="105" t="s">
        <v>264</v>
      </c>
      <c r="BG14" s="143" t="s">
        <v>9</v>
      </c>
      <c r="BH14" s="105" t="s">
        <v>265</v>
      </c>
      <c r="BI14" s="143" t="s">
        <v>9</v>
      </c>
      <c r="BJ14" s="105" t="s">
        <v>265</v>
      </c>
    </row>
    <row r="15" spans="1:62" ht="16.5" customHeight="1">
      <c r="AA15" s="110">
        <f>IF(B23="",-1,B23)</f>
        <v>0.61099999999999999</v>
      </c>
      <c r="AB15" s="111">
        <f>IF($B$23="","",H23)</f>
        <v>0.15815286613930676</v>
      </c>
      <c r="AC15" s="114">
        <f>I23</f>
        <v>14.671305416491508</v>
      </c>
      <c r="AL15" s="125">
        <v>0</v>
      </c>
      <c r="AM15" s="137">
        <v>0</v>
      </c>
      <c r="AN15" s="138">
        <f t="shared" ref="AN15:AN42" si="0">$AH$34</f>
        <v>1</v>
      </c>
      <c r="AO15" s="141">
        <f>AO$1</f>
        <v>9.1499999999999998E-2</v>
      </c>
      <c r="AP15" s="139">
        <f>AO15*9.81*(AM15)^2*$AL$135</f>
        <v>0</v>
      </c>
      <c r="AQ15" s="137">
        <v>0</v>
      </c>
      <c r="AR15" s="138">
        <f t="shared" ref="AR15:AR42" si="1">$AI$34</f>
        <v>1</v>
      </c>
      <c r="AS15" s="141">
        <f>AS$1</f>
        <v>0.123</v>
      </c>
      <c r="AT15" s="139">
        <f>AS15*9.81*(AQ15)^2*$AL$135</f>
        <v>0</v>
      </c>
      <c r="AU15" s="137">
        <v>0</v>
      </c>
      <c r="AV15" s="138">
        <f t="shared" ref="AV15:AV42" si="2">$AJ$34</f>
        <v>1</v>
      </c>
      <c r="AW15" s="141">
        <f>AW$1</f>
        <v>0.33462500000000001</v>
      </c>
      <c r="AX15" s="139">
        <f>AW15*9.81*(AU15)^2*$AL$135</f>
        <v>0</v>
      </c>
      <c r="AY15" s="137">
        <v>0</v>
      </c>
      <c r="AZ15" s="138">
        <f t="shared" ref="AZ15:AZ42" si="3">$AK$34</f>
        <v>1</v>
      </c>
      <c r="BA15" s="141">
        <f>BA$1</f>
        <v>0.40771089300000007</v>
      </c>
      <c r="BB15" s="139">
        <f>BA15*9.81*(AY15)^2*$AL$135</f>
        <v>0</v>
      </c>
      <c r="BC15" s="137">
        <f>AQ15</f>
        <v>0</v>
      </c>
      <c r="BD15" s="138">
        <f>AS15</f>
        <v>0.123</v>
      </c>
      <c r="BE15" s="138">
        <f t="shared" ref="BE15:BE78" si="4">IF($B$29="",-1,AU15)</f>
        <v>0</v>
      </c>
      <c r="BF15" s="138">
        <f>AW15</f>
        <v>0.33462500000000001</v>
      </c>
      <c r="BG15" s="137">
        <v>0</v>
      </c>
      <c r="BH15" s="141">
        <f>BH$1</f>
        <v>8.2000000000000003E-2</v>
      </c>
      <c r="BI15" s="137">
        <v>0</v>
      </c>
      <c r="BJ15" s="141">
        <f>BJ$1</f>
        <v>0.25</v>
      </c>
    </row>
    <row r="16" spans="1:62" ht="16.5" customHeight="1">
      <c r="A16" s="54" t="s">
        <v>18</v>
      </c>
      <c r="B16" s="126" t="s">
        <v>19</v>
      </c>
      <c r="C16" s="54" t="s">
        <v>244</v>
      </c>
      <c r="D16" s="54" t="s">
        <v>245</v>
      </c>
      <c r="E16" s="54" t="s">
        <v>246</v>
      </c>
      <c r="F16" s="54" t="s">
        <v>247</v>
      </c>
      <c r="G16" s="54" t="s">
        <v>248</v>
      </c>
      <c r="H16" s="54" t="s">
        <v>249</v>
      </c>
      <c r="AA16" s="110">
        <f>$AA$15</f>
        <v>0.61099999999999999</v>
      </c>
      <c r="AB16" s="111">
        <f>IF($B$23="","",H24)</f>
        <v>0.21458445911663462</v>
      </c>
      <c r="AC16" s="114">
        <f>I24</f>
        <v>19.906273052046391</v>
      </c>
      <c r="AL16" s="111" t="s">
        <v>250</v>
      </c>
      <c r="AM16" s="137">
        <f>$AH$6</f>
        <v>0</v>
      </c>
      <c r="AN16" s="138">
        <f t="shared" si="0"/>
        <v>1</v>
      </c>
      <c r="AO16" s="141">
        <f t="shared" ref="AO16" si="5">AO15</f>
        <v>9.1499999999999998E-2</v>
      </c>
      <c r="AP16" s="139">
        <f>AO16*9.81*(AM16)^2*$AL$135</f>
        <v>0</v>
      </c>
      <c r="AQ16" s="137">
        <f>$AH$6</f>
        <v>0</v>
      </c>
      <c r="AR16" s="138">
        <f t="shared" si="1"/>
        <v>1</v>
      </c>
      <c r="AS16" s="141">
        <f t="shared" ref="AS16" si="6">AS15</f>
        <v>0.123</v>
      </c>
      <c r="AT16" s="139">
        <f>AS16*9.81*(AQ16)^2*$AL$135</f>
        <v>0</v>
      </c>
      <c r="AU16" s="137">
        <f>$AH$6</f>
        <v>0</v>
      </c>
      <c r="AV16" s="138">
        <f t="shared" si="2"/>
        <v>1</v>
      </c>
      <c r="AW16" s="141">
        <f t="shared" ref="AW16" si="7">AW15</f>
        <v>0.33462500000000001</v>
      </c>
      <c r="AX16" s="139">
        <f>AW16*9.81*(AU16)^2*$AL$135</f>
        <v>0</v>
      </c>
      <c r="AY16" s="137">
        <f>$AH$6</f>
        <v>0</v>
      </c>
      <c r="AZ16" s="138">
        <f t="shared" si="3"/>
        <v>1</v>
      </c>
      <c r="BA16" s="141">
        <f t="shared" ref="BA16" si="8">BA15</f>
        <v>0.40771089300000007</v>
      </c>
      <c r="BB16" s="139">
        <f>BA16*9.81*(AY16)^2*$AL$135</f>
        <v>0</v>
      </c>
      <c r="BC16" s="137">
        <f t="shared" ref="BC16:BF16" si="9">BC15</f>
        <v>0</v>
      </c>
      <c r="BD16" s="138">
        <f t="shared" si="9"/>
        <v>0.123</v>
      </c>
      <c r="BE16" s="138">
        <f t="shared" si="4"/>
        <v>0</v>
      </c>
      <c r="BF16" s="138">
        <f t="shared" si="9"/>
        <v>0.33462500000000001</v>
      </c>
      <c r="BG16" s="137">
        <f>BG15</f>
        <v>0</v>
      </c>
      <c r="BH16" s="141">
        <f t="shared" ref="BH16:BJ16" si="10">BH15</f>
        <v>8.2000000000000003E-2</v>
      </c>
      <c r="BI16" s="137">
        <f>BI15</f>
        <v>0</v>
      </c>
      <c r="BJ16" s="141">
        <f t="shared" si="10"/>
        <v>0.25</v>
      </c>
    </row>
    <row r="17" spans="1:62" ht="16.5" customHeight="1">
      <c r="A17" s="54" t="s">
        <v>4</v>
      </c>
      <c r="B17" s="127">
        <f>IF(OR(G7="",H7=""),"",MAX($AD$3,MIN($AE$3,$AB$3-$AC$3*H7*G7))*IF(OR($B$12="T1",$B$12=""),1,IF($B$12="T4",1+0.4*$E$12,1+0.2*$E$12)))</f>
        <v>1.5</v>
      </c>
      <c r="C17" s="127">
        <f>IF(B17="","",B17*G7)</f>
        <v>9.1499999999999998E-2</v>
      </c>
      <c r="D17" s="127">
        <f>IF(E17="","",E17/3)</f>
        <v>0.14916396716852898</v>
      </c>
      <c r="E17" s="127">
        <f>IF(I7="","",$AB$5*I7^(-$AC$5)*I7)</f>
        <v>0.44749190150558693</v>
      </c>
      <c r="F17" s="127">
        <f>IF(G7="","",4*G7+1.6)</f>
        <v>1.8440000000000001</v>
      </c>
      <c r="G17" s="128">
        <f>IF(OR($B$14="A",$B$14=""),4.5,IF($B$14="B",5,6))</f>
        <v>6</v>
      </c>
      <c r="H17" s="127">
        <f>IF(OR(H7="",C17="",E17=""),"",C17*H7*IF($A$26="ordinaria",$AB$6,IF(E17&lt;$E$23,$AB$6,$AB$7)))</f>
        <v>0.21593999999999999</v>
      </c>
      <c r="AA17" s="110">
        <f>$AA$15</f>
        <v>0.61099999999999999</v>
      </c>
      <c r="AB17" s="111">
        <f>IF($B$23="","",H25)</f>
        <v>0.69895013179366716</v>
      </c>
      <c r="AC17" s="114">
        <f>I25</f>
        <v>64.839235005765488</v>
      </c>
      <c r="AM17" s="137">
        <f>(AM16+AM18)/2</f>
        <v>7.4581983584264488E-2</v>
      </c>
      <c r="AN17" s="138">
        <f t="shared" si="0"/>
        <v>1</v>
      </c>
      <c r="AO17" s="141">
        <f>(AO16+AO18)/2</f>
        <v>0.15372</v>
      </c>
      <c r="AP17" s="139">
        <f t="shared" ref="AP17:AP80" si="11">AO17*9.81*(AM17)^2*$AL$135</f>
        <v>0.21247483753023669</v>
      </c>
      <c r="AQ17" s="137">
        <f>(AQ16+AQ18)/2</f>
        <v>7.6708688772966063E-2</v>
      </c>
      <c r="AR17" s="138">
        <f t="shared" si="1"/>
        <v>1</v>
      </c>
      <c r="AS17" s="141">
        <f>(AS16+AS18)/2</f>
        <v>0.20393399999999998</v>
      </c>
      <c r="AT17" s="139">
        <f t="shared" ref="AT17:AT80" si="12">AS17*9.81*(AQ17)^2*$AL$135</f>
        <v>0.29818653376555521</v>
      </c>
      <c r="AU17" s="137">
        <f>(AU16+AU18)/2</f>
        <v>8.8259349900035824E-2</v>
      </c>
      <c r="AV17" s="138">
        <f t="shared" si="2"/>
        <v>1</v>
      </c>
      <c r="AW17" s="141">
        <f>(AW16+AW18)/2</f>
        <v>0.57053562499999999</v>
      </c>
      <c r="AX17" s="139">
        <f t="shared" ref="AX17:AX80" si="13">AW17*9.81*(AU17)^2*$AL$135</f>
        <v>1.104367167173713</v>
      </c>
      <c r="AY17" s="137">
        <f>(AY16+AY18)/2</f>
        <v>9.199860185971169E-2</v>
      </c>
      <c r="AZ17" s="138">
        <f t="shared" si="3"/>
        <v>1</v>
      </c>
      <c r="BA17" s="141">
        <f>(BA16+BA18)/2</f>
        <v>0.70228201319250005</v>
      </c>
      <c r="BB17" s="139">
        <f t="shared" ref="BB17:BB80" si="14">BA17*9.81*(AY17)^2*$AL$135</f>
        <v>1.4770094385138677</v>
      </c>
      <c r="BC17" s="137">
        <f t="shared" ref="BC17:BC116" si="15">AQ17</f>
        <v>7.6708688772966063E-2</v>
      </c>
      <c r="BD17" s="138">
        <f>(BD15+BD18)/2</f>
        <v>0.15645599999999998</v>
      </c>
      <c r="BE17" s="138">
        <f t="shared" si="4"/>
        <v>8.8259349900035824E-2</v>
      </c>
      <c r="BF17" s="138">
        <f>(BF15+BF18)/2</f>
        <v>0.25310465425531914</v>
      </c>
      <c r="BG17" s="137">
        <f>(BG15+BG18)/2</f>
        <v>2.5000000000000001E-2</v>
      </c>
      <c r="BH17" s="141">
        <f>(BH15+BH18)/2</f>
        <v>7.7708201455880671E-2</v>
      </c>
      <c r="BI17" s="137">
        <f>(BI15+BI18)/2</f>
        <v>2.5000000000000001E-2</v>
      </c>
      <c r="BJ17" s="141">
        <f>(BJ15+BJ18)/2</f>
        <v>0.32834375000000005</v>
      </c>
    </row>
    <row r="18" spans="1:62" ht="16.5" customHeight="1">
      <c r="A18" s="54" t="s">
        <v>5</v>
      </c>
      <c r="B18" s="127">
        <f>IF(OR(G8="",H8=""),"",MAX($AD$3,MIN($AE$3,$AB$3-$AC$3*H8*G8))*IF(OR($B$12="T1",$B$12=""),1,IF($B$12="T4",1+0.4*$E$12,1+0.2*$E$12)))</f>
        <v>1.5</v>
      </c>
      <c r="C18" s="127">
        <f>IF(B18="","",B18*G8)</f>
        <v>0.123</v>
      </c>
      <c r="D18" s="127">
        <f t="shared" ref="D18:D20" si="16">IF(E18="","",E18/3)</f>
        <v>0.15341737754593213</v>
      </c>
      <c r="E18" s="127">
        <f>IF(I8="","",$AB$5*I8^(-$AC$5)*I8)</f>
        <v>0.46025213263779635</v>
      </c>
      <c r="F18" s="127">
        <f>IF(G8="","",4*G8+1.6)</f>
        <v>1.9280000000000002</v>
      </c>
      <c r="G18" s="128">
        <f>IF(OR($B$14="A",$B$14=""),4.5,IF($B$14="B",5,6))</f>
        <v>6</v>
      </c>
      <c r="H18" s="127">
        <f>IF(OR(H8="",C18="",E18=""),"",C18*H8*IF($A$26="ordinaria",$AB$6,IF(E18&lt;$E$23,$AB$6,$AB$7)))</f>
        <v>0.28486799999999995</v>
      </c>
      <c r="AA18" s="110">
        <f>$AA$15</f>
        <v>0.61099999999999999</v>
      </c>
      <c r="AB18" s="111">
        <f>IF($B$23="","",H26)</f>
        <v>0.90058030635901176</v>
      </c>
      <c r="AC18" s="114">
        <f>I26</f>
        <v>83.543782981664961</v>
      </c>
      <c r="AL18" s="111" t="s">
        <v>222</v>
      </c>
      <c r="AM18" s="137">
        <f>AO$2</f>
        <v>0.14916396716852898</v>
      </c>
      <c r="AN18" s="138">
        <f t="shared" si="0"/>
        <v>1</v>
      </c>
      <c r="AO18" s="141">
        <f>AO$7*AN18</f>
        <v>0.21593999999999999</v>
      </c>
      <c r="AP18" s="139">
        <f t="shared" si="11"/>
        <v>1.193906229931806</v>
      </c>
      <c r="AQ18" s="137">
        <f>AS$2</f>
        <v>0.15341737754593213</v>
      </c>
      <c r="AR18" s="138">
        <f t="shared" si="1"/>
        <v>1</v>
      </c>
      <c r="AS18" s="141">
        <f>AS$7*AR18</f>
        <v>0.28486799999999995</v>
      </c>
      <c r="AT18" s="139">
        <f t="shared" si="12"/>
        <v>1.6661037688806417</v>
      </c>
      <c r="AU18" s="137">
        <f>AW$2</f>
        <v>0.17651869980007165</v>
      </c>
      <c r="AV18" s="138">
        <f t="shared" si="2"/>
        <v>1</v>
      </c>
      <c r="AW18" s="141">
        <f>AW$7*AV18</f>
        <v>0.80644625000000003</v>
      </c>
      <c r="AX18" s="139">
        <f t="shared" si="13"/>
        <v>6.2440466226126645</v>
      </c>
      <c r="AY18" s="137">
        <f>BA$2</f>
        <v>0.18399720371942338</v>
      </c>
      <c r="AZ18" s="138">
        <f t="shared" si="3"/>
        <v>1</v>
      </c>
      <c r="BA18" s="141">
        <f>BA$7*AZ18</f>
        <v>0.99685313338500015</v>
      </c>
      <c r="BB18" s="139">
        <f t="shared" si="14"/>
        <v>8.3861551864531947</v>
      </c>
      <c r="BC18" s="137">
        <f t="shared" si="15"/>
        <v>0.15341737754593213</v>
      </c>
      <c r="BD18" s="138">
        <f>AS18/1.5</f>
        <v>0.18991199999999997</v>
      </c>
      <c r="BE18" s="138">
        <f t="shared" si="4"/>
        <v>0.17651869980007165</v>
      </c>
      <c r="BF18" s="138">
        <f t="shared" ref="BF18:BF81" si="17">IF($A$26="ordinaria",MAX(AW18/$AB$6/IF($B$29="",1,$B$29),0.2*$C$9),AW18/$B$29)</f>
        <v>0.1715843085106383</v>
      </c>
      <c r="BG18" s="137">
        <f>BH$2</f>
        <v>0.05</v>
      </c>
      <c r="BH18" s="141">
        <f>BH$9</f>
        <v>7.3416402911761353E-2</v>
      </c>
      <c r="BI18" s="137">
        <f>BJ$2</f>
        <v>0.05</v>
      </c>
      <c r="BJ18" s="141">
        <f>BJ$9</f>
        <v>0.40668750000000004</v>
      </c>
    </row>
    <row r="19" spans="1:62" ht="16.5" customHeight="1">
      <c r="A19" s="54" t="s">
        <v>6</v>
      </c>
      <c r="B19" s="127">
        <f>IF(OR(G9="",H9=""),"",MAX($AD$3,MIN($AE$3,$AB$3-$AC$3*H9*G9))*IF(OR($B$12="T1",$B$12=""),1,IF($B$12="T4",1+0.4*$E$12,1+0.2*$E$12)))</f>
        <v>1.3385</v>
      </c>
      <c r="C19" s="127">
        <f>IF(B19="","",B19*G9)</f>
        <v>0.33462500000000001</v>
      </c>
      <c r="D19" s="127">
        <f t="shared" si="16"/>
        <v>0.17651869980007165</v>
      </c>
      <c r="E19" s="127">
        <f>IF(I9="","",$AB$5*I9^(-$AC$5)*I9)</f>
        <v>0.52955609940021497</v>
      </c>
      <c r="F19" s="127">
        <f>IF(G9="","",4*G9+1.6)</f>
        <v>2.6</v>
      </c>
      <c r="G19" s="128">
        <f>IF(OR($B$14="A",$B$14=""),4.5,IF($B$14="B",5,6))</f>
        <v>6</v>
      </c>
      <c r="H19" s="127">
        <f>IF(OR(H9="",C19="",E19=""),"",C19*H9*IF($A$26="ordinaria",$AB$6,IF(E19&lt;$E$23,$AB$6,$AB$7)))</f>
        <v>0.80644625000000003</v>
      </c>
      <c r="AA19" s="156" t="s">
        <v>163</v>
      </c>
      <c r="AB19" s="156"/>
      <c r="AC19" s="156"/>
      <c r="AE19" s="112" t="s">
        <v>164</v>
      </c>
      <c r="AM19" s="137">
        <f>AM18+(AM$22-AM$18)/4</f>
        <v>0.22374595075279347</v>
      </c>
      <c r="AN19" s="138">
        <f t="shared" si="0"/>
        <v>1</v>
      </c>
      <c r="AO19" s="141">
        <f>AO$18</f>
        <v>0.21593999999999999</v>
      </c>
      <c r="AP19" s="139">
        <f t="shared" si="11"/>
        <v>2.6862890173465641</v>
      </c>
      <c r="AQ19" s="137">
        <f>AQ18+(AQ$22-AQ$18)/4</f>
        <v>0.23012606631889818</v>
      </c>
      <c r="AR19" s="138">
        <f t="shared" si="1"/>
        <v>1</v>
      </c>
      <c r="AS19" s="141">
        <f>AS$18</f>
        <v>0.28486799999999995</v>
      </c>
      <c r="AT19" s="139">
        <f t="shared" si="12"/>
        <v>3.7487334799814431</v>
      </c>
      <c r="AU19" s="137">
        <f>AU18+(AU$22-AU$18)/4</f>
        <v>0.26477804970010749</v>
      </c>
      <c r="AV19" s="138">
        <f t="shared" si="2"/>
        <v>1</v>
      </c>
      <c r="AW19" s="141">
        <f>AW$18</f>
        <v>0.80644625000000003</v>
      </c>
      <c r="AX19" s="139">
        <f t="shared" si="13"/>
        <v>14.049104900878497</v>
      </c>
      <c r="AY19" s="137">
        <f>AY18+(AY$22-AY$18)/4</f>
        <v>0.27599580557913506</v>
      </c>
      <c r="AZ19" s="138">
        <f t="shared" si="3"/>
        <v>1</v>
      </c>
      <c r="BA19" s="141">
        <f>BA$18</f>
        <v>0.99685313338500015</v>
      </c>
      <c r="BB19" s="139">
        <f t="shared" si="14"/>
        <v>18.868849169519684</v>
      </c>
      <c r="BC19" s="137">
        <f t="shared" si="15"/>
        <v>0.23012606631889818</v>
      </c>
      <c r="BD19" s="138">
        <f>BD$18</f>
        <v>0.18991199999999997</v>
      </c>
      <c r="BE19" s="138">
        <f t="shared" si="4"/>
        <v>0.26477804970010749</v>
      </c>
      <c r="BF19" s="138">
        <f t="shared" si="17"/>
        <v>0.1715843085106383</v>
      </c>
      <c r="BG19" s="137">
        <f>BG18+(BG$22-BG$18)/4</f>
        <v>7.4999999999999997E-2</v>
      </c>
      <c r="BH19" s="141">
        <f>BH$18</f>
        <v>7.3416402911761353E-2</v>
      </c>
      <c r="BI19" s="137">
        <f>BI18+(BI$22-BI$18)/4</f>
        <v>7.4999999999999997E-2</v>
      </c>
      <c r="BJ19" s="141">
        <f>BJ$18</f>
        <v>0.40668750000000004</v>
      </c>
    </row>
    <row r="20" spans="1:62" ht="16.5" customHeight="1">
      <c r="A20" s="54" t="s">
        <v>7</v>
      </c>
      <c r="B20" s="127">
        <f>IF(OR(G10="",H10=""),"",MAX($AD$3,MIN($AE$3,$AB$3-$AC$3*H10*G10))*IF(OR($B$12="T1",$B$12=""),1,IF($B$12="T4",1+0.4*$E$12,1+0.2*$E$12)))</f>
        <v>1.2026870000000001</v>
      </c>
      <c r="C20" s="127">
        <f>IF(B20="","",B20*G10)</f>
        <v>0.40771089300000007</v>
      </c>
      <c r="D20" s="127">
        <f t="shared" si="16"/>
        <v>0.18399720371942338</v>
      </c>
      <c r="E20" s="127">
        <f>IF(I10="","",$AB$5*I10^(-$AC$5)*I10)</f>
        <v>0.55199161115827011</v>
      </c>
      <c r="F20" s="127">
        <f>IF(G10="","",4*G10+1.6)</f>
        <v>2.9560000000000004</v>
      </c>
      <c r="G20" s="128">
        <f>IF(OR($B$14="A",$B$14=""),4.5,IF($B$14="B",5,6))</f>
        <v>6</v>
      </c>
      <c r="H20" s="127">
        <f>IF(OR(H10="",C20="",E20=""),"",C20*H10*IF($A$26="ordinaria",$AB$6,IF(E20&lt;$E$23,$AB$6,$AB$7)))</f>
        <v>0.99685313338500015</v>
      </c>
      <c r="AA20" s="110" t="s">
        <v>241</v>
      </c>
      <c r="AB20" s="110" t="s">
        <v>242</v>
      </c>
      <c r="AE20" s="112" t="s">
        <v>274</v>
      </c>
      <c r="AL20" s="111"/>
      <c r="AM20" s="137">
        <f>AM19+(AM$22-AM$18)/4</f>
        <v>0.29832793433705795</v>
      </c>
      <c r="AN20" s="138">
        <f t="shared" si="0"/>
        <v>1</v>
      </c>
      <c r="AO20" s="141">
        <f>AO$18</f>
        <v>0.21593999999999999</v>
      </c>
      <c r="AP20" s="139">
        <f t="shared" si="11"/>
        <v>4.7756249197272238</v>
      </c>
      <c r="AQ20" s="137">
        <f>AQ19+(AQ$22-AQ$18)/4</f>
        <v>0.3068347550918642</v>
      </c>
      <c r="AR20" s="138">
        <f t="shared" si="1"/>
        <v>1</v>
      </c>
      <c r="AS20" s="141">
        <f>AS$18</f>
        <v>0.28486799999999995</v>
      </c>
      <c r="AT20" s="139">
        <f t="shared" si="12"/>
        <v>6.6644150755225624</v>
      </c>
      <c r="AU20" s="137">
        <f>AU19+(AU$22-AU$18)/4</f>
        <v>0.35303739960014335</v>
      </c>
      <c r="AV20" s="138">
        <f t="shared" si="2"/>
        <v>1</v>
      </c>
      <c r="AW20" s="141">
        <f>AW$18</f>
        <v>0.80644625000000003</v>
      </c>
      <c r="AX20" s="139">
        <f t="shared" si="13"/>
        <v>24.976186490450669</v>
      </c>
      <c r="AY20" s="137">
        <f>AY19+(AY$22-AY$18)/4</f>
        <v>0.3679944074388467</v>
      </c>
      <c r="AZ20" s="138">
        <f t="shared" si="3"/>
        <v>1</v>
      </c>
      <c r="BA20" s="141">
        <f>BA$18</f>
        <v>0.99685313338500015</v>
      </c>
      <c r="BB20" s="139">
        <f t="shared" si="14"/>
        <v>33.544620745812757</v>
      </c>
      <c r="BC20" s="137">
        <f t="shared" si="15"/>
        <v>0.3068347550918642</v>
      </c>
      <c r="BD20" s="138">
        <f>BD$18</f>
        <v>0.18991199999999997</v>
      </c>
      <c r="BE20" s="138">
        <f t="shared" si="4"/>
        <v>0.35303739960014335</v>
      </c>
      <c r="BF20" s="138">
        <f t="shared" si="17"/>
        <v>0.1715843085106383</v>
      </c>
      <c r="BG20" s="137">
        <f>BG19+(BG$22-BG$18)/4</f>
        <v>9.9999999999999992E-2</v>
      </c>
      <c r="BH20" s="141">
        <f>BH$18</f>
        <v>7.3416402911761353E-2</v>
      </c>
      <c r="BI20" s="137">
        <f>BI19+(BI$22-BI$18)/4</f>
        <v>9.9999999999999992E-2</v>
      </c>
      <c r="BJ20" s="141">
        <f>BJ$18</f>
        <v>0.40668750000000004</v>
      </c>
    </row>
    <row r="21" spans="1:62" ht="16.5" customHeight="1">
      <c r="AA21" s="110">
        <f>AA15</f>
        <v>0.61099999999999999</v>
      </c>
      <c r="AB21" s="111">
        <f>IF($B$23="","",H25)</f>
        <v>0.69895013179366716</v>
      </c>
      <c r="AE21" s="112" t="s">
        <v>275</v>
      </c>
      <c r="AL21" s="111"/>
      <c r="AM21" s="137">
        <f>AM20+(AM$22-AM$18)/4</f>
        <v>0.37290991792132244</v>
      </c>
      <c r="AN21" s="138">
        <f t="shared" si="0"/>
        <v>1</v>
      </c>
      <c r="AO21" s="141">
        <f>AO$18</f>
        <v>0.21593999999999999</v>
      </c>
      <c r="AP21" s="139">
        <f t="shared" si="11"/>
        <v>7.4619139370737892</v>
      </c>
      <c r="AQ21" s="137">
        <f>AQ20+(AQ$22-AQ$18)/4</f>
        <v>0.38354344386483025</v>
      </c>
      <c r="AR21" s="138">
        <f t="shared" si="1"/>
        <v>1</v>
      </c>
      <c r="AS21" s="141">
        <f>AS$18</f>
        <v>0.28486799999999995</v>
      </c>
      <c r="AT21" s="139">
        <f t="shared" si="12"/>
        <v>10.413148555504005</v>
      </c>
      <c r="AU21" s="137">
        <f>AU20+(AU$22-AU$18)/4</f>
        <v>0.44129674950017916</v>
      </c>
      <c r="AV21" s="138">
        <f t="shared" si="2"/>
        <v>1</v>
      </c>
      <c r="AW21" s="141">
        <f>AW$18</f>
        <v>0.80644625000000003</v>
      </c>
      <c r="AX21" s="139">
        <f t="shared" si="13"/>
        <v>39.025291391329162</v>
      </c>
      <c r="AY21" s="137">
        <f>AY20+(AY$22-AY$18)/4</f>
        <v>0.45999300929855835</v>
      </c>
      <c r="AZ21" s="138">
        <f t="shared" si="3"/>
        <v>1</v>
      </c>
      <c r="BA21" s="141">
        <f>BA$18</f>
        <v>0.99685313338500015</v>
      </c>
      <c r="BB21" s="139">
        <f t="shared" si="14"/>
        <v>52.413469915332435</v>
      </c>
      <c r="BC21" s="137">
        <f t="shared" si="15"/>
        <v>0.38354344386483025</v>
      </c>
      <c r="BD21" s="138">
        <f>BD$18</f>
        <v>0.18991199999999997</v>
      </c>
      <c r="BE21" s="138">
        <f t="shared" si="4"/>
        <v>0.44129674950017916</v>
      </c>
      <c r="BF21" s="138">
        <f t="shared" si="17"/>
        <v>0.1715843085106383</v>
      </c>
      <c r="BG21" s="137">
        <f>BG20+(BG$22-BG$18)/4</f>
        <v>0.12499999999999999</v>
      </c>
      <c r="BH21" s="141">
        <f>BH$18</f>
        <v>7.3416402911761353E-2</v>
      </c>
      <c r="BI21" s="137">
        <f>BI20+(BI$22-BI$18)/4</f>
        <v>0.12499999999999999</v>
      </c>
      <c r="BJ21" s="141">
        <f>BJ$18</f>
        <v>0.40668750000000004</v>
      </c>
    </row>
    <row r="22" spans="1:62" ht="16.5" customHeight="1">
      <c r="H22" s="54" t="s">
        <v>251</v>
      </c>
      <c r="I22" s="54" t="s">
        <v>252</v>
      </c>
      <c r="AA22" s="110">
        <f>IF($B$29="",-1,AA16)</f>
        <v>0.61099999999999999</v>
      </c>
      <c r="AB22" s="111">
        <f>IF($B$23="","",H29)</f>
        <v>0.14871279399865259</v>
      </c>
      <c r="AE22" s="112" t="s">
        <v>165</v>
      </c>
      <c r="AL22" s="111" t="s">
        <v>224</v>
      </c>
      <c r="AM22" s="137">
        <f>AO$3</f>
        <v>0.44749190150558693</v>
      </c>
      <c r="AN22" s="138">
        <f t="shared" si="0"/>
        <v>1</v>
      </c>
      <c r="AO22" s="141">
        <f>AO$18</f>
        <v>0.21593999999999999</v>
      </c>
      <c r="AP22" s="139">
        <f t="shared" si="11"/>
        <v>10.745156069386256</v>
      </c>
      <c r="AQ22" s="137">
        <f>AS$3</f>
        <v>0.46025213263779635</v>
      </c>
      <c r="AR22" s="138">
        <f t="shared" si="1"/>
        <v>1</v>
      </c>
      <c r="AS22" s="141">
        <f>AS$18</f>
        <v>0.28486799999999995</v>
      </c>
      <c r="AT22" s="139">
        <f t="shared" si="12"/>
        <v>14.994933919925773</v>
      </c>
      <c r="AU22" s="137">
        <f>AW$3</f>
        <v>0.52955609940021497</v>
      </c>
      <c r="AV22" s="138">
        <f t="shared" si="2"/>
        <v>1</v>
      </c>
      <c r="AW22" s="141">
        <f>AW$18</f>
        <v>0.80644625000000003</v>
      </c>
      <c r="AX22" s="139">
        <f t="shared" si="13"/>
        <v>56.196419603513988</v>
      </c>
      <c r="AY22" s="137">
        <f>BA$3</f>
        <v>0.55199161115827011</v>
      </c>
      <c r="AZ22" s="138">
        <f t="shared" si="3"/>
        <v>1</v>
      </c>
      <c r="BA22" s="141">
        <f>BA$18</f>
        <v>0.99685313338500015</v>
      </c>
      <c r="BB22" s="139">
        <f t="shared" si="14"/>
        <v>75.475396678078738</v>
      </c>
      <c r="BC22" s="137">
        <f t="shared" si="15"/>
        <v>0.46025213263779635</v>
      </c>
      <c r="BD22" s="138">
        <f>BD$18</f>
        <v>0.18991199999999997</v>
      </c>
      <c r="BE22" s="138">
        <f t="shared" si="4"/>
        <v>0.52955609940021497</v>
      </c>
      <c r="BF22" s="138">
        <f t="shared" si="17"/>
        <v>0.1715843085106383</v>
      </c>
      <c r="BG22" s="137">
        <f>BH$3</f>
        <v>0.15</v>
      </c>
      <c r="BH22" s="141">
        <f>BH18</f>
        <v>7.3416402911761353E-2</v>
      </c>
      <c r="BI22" s="137">
        <f>BJ$3</f>
        <v>0.15</v>
      </c>
      <c r="BJ22" s="141">
        <f>BJ18</f>
        <v>0.40668750000000004</v>
      </c>
    </row>
    <row r="23" spans="1:62" ht="16.5" customHeight="1">
      <c r="A23" s="54" t="s">
        <v>286</v>
      </c>
      <c r="B23" s="126">
        <f>IF(Forze!D11=0,"",IF('Geom e masse'!L3="si con isolamento",Forze!D15,Forze!D12))</f>
        <v>0.61099999999999999</v>
      </c>
      <c r="D23" s="122" t="s">
        <v>253</v>
      </c>
      <c r="E23" s="127" t="str">
        <f>IF(A26="ordinaria","",IF(B23="",2,0.8*B23))</f>
        <v/>
      </c>
      <c r="G23" s="126" t="s">
        <v>4</v>
      </c>
      <c r="H23" s="127">
        <f>IF(OR($B$23="",G7="",H7=""),"",IF($B$23&lt;D17,H17*($B$23/D17+(1-$B$23/D17)/H7/$AB$6),IF($B$23&lt;=E17,H17,IF($B$23&lt;F17,H17*E17/$B$23,H17*E17*F17/$B$23^2)))*IF($B$23&gt;$AE$7,$AB$7/$AB$6,1))</f>
        <v>0.15815286613930676</v>
      </c>
      <c r="I23" s="129">
        <f>IF(OR($B$23="",H23=""),"",H23*9.81*($B$23/2/PI())^2*1000)</f>
        <v>14.671305416491508</v>
      </c>
      <c r="AL23" s="111"/>
      <c r="AM23" s="137">
        <f>AM22+(AM$42-AM$22)/20</f>
        <v>0.48240460396794727</v>
      </c>
      <c r="AN23" s="138">
        <f t="shared" si="0"/>
        <v>1</v>
      </c>
      <c r="AO23" s="141">
        <f t="shared" ref="AO23:AO63" si="18">AO$7*AM$22/AM23*AN23</f>
        <v>0.20031193818692697</v>
      </c>
      <c r="AP23" s="139">
        <f t="shared" si="11"/>
        <v>11.583478361923708</v>
      </c>
      <c r="AQ23" s="137">
        <f>AQ22+(AQ$42-AQ$22)/20</f>
        <v>0.49694582932185144</v>
      </c>
      <c r="AR23" s="138">
        <f t="shared" si="1"/>
        <v>1</v>
      </c>
      <c r="AS23" s="141">
        <f t="shared" ref="AS23:AS63" si="19">AS$7*AQ$22/AQ23*AR23</f>
        <v>0.2638337959273796</v>
      </c>
      <c r="AT23" s="139">
        <f t="shared" si="12"/>
        <v>16.190408135116883</v>
      </c>
      <c r="AU23" s="137">
        <f>AU22+(AU$42-AU$22)/20</f>
        <v>0.58131719691520956</v>
      </c>
      <c r="AV23" s="138">
        <f t="shared" si="2"/>
        <v>1</v>
      </c>
      <c r="AW23" s="141">
        <f t="shared" ref="AW23:AW63" si="20">AW$7*AU$22/AU23*AV23</f>
        <v>0.73463942369525503</v>
      </c>
      <c r="AX23" s="139">
        <f t="shared" si="13"/>
        <v>61.689300071486294</v>
      </c>
      <c r="AY23" s="137">
        <f>AY22+(AY$42-AY$22)/20</f>
        <v>0.61209182087931335</v>
      </c>
      <c r="AZ23" s="138">
        <f t="shared" si="3"/>
        <v>1</v>
      </c>
      <c r="BA23" s="141">
        <f t="shared" ref="BA23:BA63" si="21">BA$7*AY$22/AY23*AZ23</f>
        <v>0.8989738931568737</v>
      </c>
      <c r="BB23" s="139">
        <f t="shared" si="14"/>
        <v>83.693070782968064</v>
      </c>
      <c r="BC23" s="137">
        <f t="shared" si="15"/>
        <v>0.49694582932185144</v>
      </c>
      <c r="BD23" s="138">
        <f t="shared" ref="BD23:BD130" si="22">AS23/1.5</f>
        <v>0.17588919728491972</v>
      </c>
      <c r="BE23" s="138">
        <f t="shared" si="4"/>
        <v>0.58131719691520956</v>
      </c>
      <c r="BF23" s="138">
        <f t="shared" si="17"/>
        <v>0.15630626036069256</v>
      </c>
      <c r="BG23" s="137">
        <f>BG22+(BG$42-BG$22)/20</f>
        <v>0.17124999999999999</v>
      </c>
      <c r="BH23" s="141">
        <f>BH$22*BG$22/BG23</f>
        <v>6.430633831687127E-2</v>
      </c>
      <c r="BI23" s="137">
        <f>BI22+(BI$42-BI$22)/20</f>
        <v>0.17124999999999999</v>
      </c>
      <c r="BJ23" s="141">
        <f>BJ$22*BI$22/BI23</f>
        <v>0.35622262773722635</v>
      </c>
    </row>
    <row r="24" spans="1:62" ht="16.5" customHeight="1">
      <c r="C24" s="130" t="str">
        <f>IF(AND(A26&lt;&gt;"ordinaria",OR(E23&lt;1,E23&gt;G17)),CONCATENATE("deve essere compreso tra 1 e ",G17),"")</f>
        <v/>
      </c>
      <c r="G24" s="126" t="s">
        <v>5</v>
      </c>
      <c r="H24" s="127">
        <f>IF(OR($B$23="",G8="",H8=""),"",IF($B$23&lt;D18,H18*($B$23/D18+(1-$B$23/D18)/H8/$AB$6),IF($B$23&lt;=E18,H18,IF($B$23&lt;F18,H18*E18/$B$23,H18*E18*F18/$B$23^2)))*IF($B$23&gt;$AE$7,$AB$7/$AB$6,1))</f>
        <v>0.21458445911663462</v>
      </c>
      <c r="I24" s="129">
        <f>IF(OR($B$23="",H24=""),"",H24*9.81*($B$23/2/PI())^2*1000)</f>
        <v>19.906273052046391</v>
      </c>
      <c r="AA24" s="112" t="s">
        <v>166</v>
      </c>
      <c r="AM24" s="137">
        <f t="shared" ref="AM24:AM41" si="23">AM23+(AM$42-AM$22)/20</f>
        <v>0.5173173064303076</v>
      </c>
      <c r="AN24" s="138">
        <f t="shared" si="0"/>
        <v>1</v>
      </c>
      <c r="AO24" s="141">
        <f t="shared" si="18"/>
        <v>0.1867932891669738</v>
      </c>
      <c r="AP24" s="139">
        <f t="shared" si="11"/>
        <v>12.421800654461162</v>
      </c>
      <c r="AQ24" s="137">
        <f t="shared" ref="AQ24:AQ41" si="24">AQ23+(AQ$42-AQ$22)/20</f>
        <v>0.53363952600590658</v>
      </c>
      <c r="AR24" s="138">
        <f t="shared" si="1"/>
        <v>1</v>
      </c>
      <c r="AS24" s="141">
        <f t="shared" si="19"/>
        <v>0.24569226627866497</v>
      </c>
      <c r="AT24" s="139">
        <f t="shared" si="12"/>
        <v>17.385882350307998</v>
      </c>
      <c r="AU24" s="137">
        <f t="shared" ref="AU24:AU41" si="25">AU23+(AU$42-AU$22)/20</f>
        <v>0.63307829443020414</v>
      </c>
      <c r="AV24" s="138">
        <f t="shared" si="2"/>
        <v>1</v>
      </c>
      <c r="AW24" s="141">
        <f t="shared" si="20"/>
        <v>0.67457458940414383</v>
      </c>
      <c r="AX24" s="139">
        <f t="shared" si="13"/>
        <v>67.182180539458599</v>
      </c>
      <c r="AY24" s="137">
        <f t="shared" ref="AY24:AY41" si="26">AY23+(AY$42-AY$22)/20</f>
        <v>0.67219203060035659</v>
      </c>
      <c r="AZ24" s="138">
        <f t="shared" si="3"/>
        <v>1</v>
      </c>
      <c r="BA24" s="141">
        <f t="shared" si="21"/>
        <v>0.81859727895599399</v>
      </c>
      <c r="BB24" s="139">
        <f t="shared" si="14"/>
        <v>91.910744887857405</v>
      </c>
      <c r="BC24" s="137">
        <f t="shared" si="15"/>
        <v>0.53363952600590658</v>
      </c>
      <c r="BD24" s="138">
        <f t="shared" si="22"/>
        <v>0.16379484418577664</v>
      </c>
      <c r="BE24" s="138">
        <f t="shared" si="4"/>
        <v>0.63307829443020414</v>
      </c>
      <c r="BF24" s="138">
        <f t="shared" si="17"/>
        <v>0.14352650838386039</v>
      </c>
      <c r="BG24" s="137">
        <f t="shared" ref="BG24:BG41" si="27">BG23+(BG$42-BG$22)/20</f>
        <v>0.19249999999999998</v>
      </c>
      <c r="BH24" s="141">
        <f>BH$22*BG$22/BG24</f>
        <v>5.7207586684489373E-2</v>
      </c>
      <c r="BI24" s="137">
        <f t="shared" ref="BI24:BI41" si="28">BI23+(BI$42-BI$22)/20</f>
        <v>0.19249999999999998</v>
      </c>
      <c r="BJ24" s="141">
        <f>BJ$22*BI$22/BI24</f>
        <v>0.31689935064935071</v>
      </c>
    </row>
    <row r="25" spans="1:62" ht="16.5" customHeight="1">
      <c r="A25" s="54" t="s">
        <v>149</v>
      </c>
      <c r="D25" s="122" t="s">
        <v>20</v>
      </c>
      <c r="E25" s="131">
        <f>IF(OR(H23="",H25=""),"",H25/H23)</f>
        <v>4.4194591527541878</v>
      </c>
      <c r="G25" s="54" t="s">
        <v>6</v>
      </c>
      <c r="H25" s="127">
        <f>IF(OR($B$23="",G9="",H9=""),"",IF($B$23&lt;D19,H19*($B$23/D19+(1-$B$23/D19)/H9/$AB$6),IF($B$23&lt;=E19,H19,IF($B$23&lt;F19,H19*E19/$B$23,H19*E19*F19/$B$23^2)))*IF($B$23&gt;$AE$7,$AB$7/$AB$6,1))</f>
        <v>0.69895013179366716</v>
      </c>
      <c r="I25" s="129">
        <f>IF(OR($B$23="",H25=""),"",H25*9.81*($B$23/2/PI())^2*1000)</f>
        <v>64.839235005765488</v>
      </c>
      <c r="AB25" s="30" t="s">
        <v>214</v>
      </c>
      <c r="AC25" s="30" t="s">
        <v>215</v>
      </c>
      <c r="AD25" s="30" t="s">
        <v>167</v>
      </c>
      <c r="AE25" s="30" t="s">
        <v>216</v>
      </c>
      <c r="AF25" s="30" t="s">
        <v>167</v>
      </c>
      <c r="AG25" s="30" t="s">
        <v>168</v>
      </c>
      <c r="AH25" s="30" t="s">
        <v>167</v>
      </c>
      <c r="AM25" s="137">
        <f t="shared" si="23"/>
        <v>0.55223000889266793</v>
      </c>
      <c r="AN25" s="138">
        <f t="shared" si="0"/>
        <v>1</v>
      </c>
      <c r="AO25" s="141">
        <f t="shared" si="18"/>
        <v>0.17498397344411218</v>
      </c>
      <c r="AP25" s="139">
        <f t="shared" si="11"/>
        <v>13.260122946998615</v>
      </c>
      <c r="AQ25" s="137">
        <f t="shared" si="24"/>
        <v>0.57033322268996167</v>
      </c>
      <c r="AR25" s="138">
        <f t="shared" si="1"/>
        <v>1</v>
      </c>
      <c r="AS25" s="141">
        <f t="shared" si="19"/>
        <v>0.22988509051231781</v>
      </c>
      <c r="AT25" s="139">
        <f t="shared" si="12"/>
        <v>18.581356565499107</v>
      </c>
      <c r="AU25" s="137">
        <f t="shared" si="25"/>
        <v>0.68483939194519872</v>
      </c>
      <c r="AV25" s="138">
        <f t="shared" si="2"/>
        <v>1</v>
      </c>
      <c r="AW25" s="141">
        <f t="shared" si="20"/>
        <v>0.62358931969863107</v>
      </c>
      <c r="AX25" s="139">
        <f t="shared" si="13"/>
        <v>72.675061007430898</v>
      </c>
      <c r="AY25" s="137">
        <f t="shared" si="26"/>
        <v>0.73229224032139983</v>
      </c>
      <c r="AZ25" s="138">
        <f t="shared" si="3"/>
        <v>1</v>
      </c>
      <c r="BA25" s="141">
        <f t="shared" si="21"/>
        <v>0.75141389856029583</v>
      </c>
      <c r="BB25" s="139">
        <f t="shared" si="14"/>
        <v>100.12841899274673</v>
      </c>
      <c r="BC25" s="137">
        <f t="shared" si="15"/>
        <v>0.57033322268996167</v>
      </c>
      <c r="BD25" s="138">
        <f t="shared" si="22"/>
        <v>0.15325672700821188</v>
      </c>
      <c r="BE25" s="138">
        <f t="shared" si="4"/>
        <v>0.68483939194519872</v>
      </c>
      <c r="BF25" s="138">
        <f t="shared" si="17"/>
        <v>0.1326785786592832</v>
      </c>
      <c r="BG25" s="137">
        <f t="shared" si="27"/>
        <v>0.21374999999999997</v>
      </c>
      <c r="BH25" s="141">
        <f t="shared" ref="BH25:BJ63" si="29">BH$22*BG$22/BG25</f>
        <v>5.1520282745095694E-2</v>
      </c>
      <c r="BI25" s="137">
        <f t="shared" si="28"/>
        <v>0.21374999999999997</v>
      </c>
      <c r="BJ25" s="141">
        <f t="shared" si="29"/>
        <v>0.28539473684210531</v>
      </c>
    </row>
    <row r="26" spans="1:62" ht="16.5" customHeight="1">
      <c r="A26" s="126" t="str">
        <f>'Spettri x'!A26</f>
        <v>ordinaria</v>
      </c>
      <c r="D26" s="122" t="s">
        <v>21</v>
      </c>
      <c r="E26" s="132">
        <f>IF(OR(H24="",H25=""),"",H25/H24*1.5)</f>
        <v>4.8858393660308961</v>
      </c>
      <c r="G26" s="54" t="s">
        <v>7</v>
      </c>
      <c r="H26" s="127">
        <f>IF(OR($B$23="",G10="",H10=""),"",IF($B$23&lt;D20,H20*($B$23/D20+(1-$B$23/D20)/H10/$AB$6),IF($B$23&lt;=E20,H20,IF($B$23&lt;F20,H20*E20/$B$23,H20*E20*F20/$B$23^2)))*IF($B$23&gt;$AE$7,$AB$7/$AB$6,1))</f>
        <v>0.90058030635901176</v>
      </c>
      <c r="I26" s="129">
        <f>IF(OR($B$23="",H26=""),"",H26*9.81*($B$23/2/PI())^2*1000)</f>
        <v>83.543782981664961</v>
      </c>
      <c r="AA26" s="30" t="s">
        <v>4</v>
      </c>
      <c r="AB26" s="110">
        <f>IF(F7&lt;$B$7,$B$7,VLOOKUP(F7,$B$7:$B$10,1,TRUE))</f>
        <v>30</v>
      </c>
      <c r="AC26" s="111">
        <f>VLOOKUP(AB26,$B$7:$E$10,2)</f>
        <v>6.0999999999999999E-2</v>
      </c>
      <c r="AD26" s="111">
        <f>VLOOKUP(AB26,$AA$38:$AF$41,6)</f>
        <v>0.49515645696750471</v>
      </c>
      <c r="AE26" s="111">
        <f>VLOOKUP(AB26,$B$7:$E$10,3)</f>
        <v>2.36</v>
      </c>
      <c r="AF26" s="115">
        <f>VLOOKUP(AB26,$AA$45:$AF$48,4)</f>
        <v>-2.2000000000000019E-3</v>
      </c>
      <c r="AG26" s="111">
        <f>VLOOKUP(AB26,$B$7:$E$10,4)</f>
        <v>0.28000000000000003</v>
      </c>
      <c r="AH26" s="115">
        <f>VLOOKUP(AB26,$AA$45:$AF$48,6)</f>
        <v>5.9999999999999778E-4</v>
      </c>
      <c r="AM26" s="137">
        <f t="shared" si="23"/>
        <v>0.58714271135502827</v>
      </c>
      <c r="AN26" s="138">
        <f t="shared" si="0"/>
        <v>1</v>
      </c>
      <c r="AO26" s="141">
        <f t="shared" si="18"/>
        <v>0.16457906969177416</v>
      </c>
      <c r="AP26" s="139">
        <f t="shared" si="11"/>
        <v>14.098445239536069</v>
      </c>
      <c r="AQ26" s="137">
        <f t="shared" si="24"/>
        <v>0.60702691937401676</v>
      </c>
      <c r="AR26" s="138">
        <f t="shared" si="1"/>
        <v>1</v>
      </c>
      <c r="AS26" s="141">
        <f t="shared" si="19"/>
        <v>0.21598894601819177</v>
      </c>
      <c r="AT26" s="139">
        <f t="shared" si="12"/>
        <v>19.776830780690222</v>
      </c>
      <c r="AU26" s="137">
        <f t="shared" si="25"/>
        <v>0.7366004894601933</v>
      </c>
      <c r="AV26" s="138">
        <f t="shared" si="2"/>
        <v>1</v>
      </c>
      <c r="AW26" s="141">
        <f t="shared" si="20"/>
        <v>0.57976954487078081</v>
      </c>
      <c r="AX26" s="139">
        <f t="shared" si="13"/>
        <v>78.167941475403211</v>
      </c>
      <c r="AY26" s="137">
        <f t="shared" si="26"/>
        <v>0.79239245004244308</v>
      </c>
      <c r="AZ26" s="138">
        <f t="shared" si="3"/>
        <v>1</v>
      </c>
      <c r="BA26" s="141">
        <f t="shared" si="21"/>
        <v>0.69442176935921429</v>
      </c>
      <c r="BB26" s="139">
        <f t="shared" si="14"/>
        <v>108.34609309763609</v>
      </c>
      <c r="BC26" s="137">
        <f t="shared" si="15"/>
        <v>0.60702691937401676</v>
      </c>
      <c r="BD26" s="138">
        <f t="shared" si="22"/>
        <v>0.1439926306787945</v>
      </c>
      <c r="BE26" s="138">
        <f t="shared" si="4"/>
        <v>0.7366004894601933</v>
      </c>
      <c r="BF26" s="138">
        <f t="shared" si="17"/>
        <v>0.12335522231293208</v>
      </c>
      <c r="BG26" s="137">
        <f t="shared" si="27"/>
        <v>0.23499999999999996</v>
      </c>
      <c r="BH26" s="141">
        <f t="shared" si="29"/>
        <v>4.6861533773464699E-2</v>
      </c>
      <c r="BI26" s="137">
        <f t="shared" si="28"/>
        <v>0.23499999999999996</v>
      </c>
      <c r="BJ26" s="141">
        <f t="shared" si="29"/>
        <v>0.25958776595744687</v>
      </c>
    </row>
    <row r="27" spans="1:62" ht="16.5" customHeight="1">
      <c r="AA27" s="30" t="s">
        <v>5</v>
      </c>
      <c r="AB27" s="110">
        <f t="shared" ref="AB27:AB29" si="30">IF(F8&lt;$B$7,$B$7,VLOOKUP(F8,$B$7:$B$10,1,TRUE))</f>
        <v>50</v>
      </c>
      <c r="AC27" s="111">
        <f t="shared" ref="AC27:AC29" si="31">VLOOKUP(AB27,$B$7:$E$10,2)</f>
        <v>8.2000000000000003E-2</v>
      </c>
      <c r="AD27" s="111">
        <f t="shared" ref="AD27:AD29" si="32">VLOOKUP(AB27,$AA$38:$AF$41,6)</f>
        <v>0.49515645696750471</v>
      </c>
      <c r="AE27" s="111">
        <f t="shared" ref="AE27:AE29" si="33">VLOOKUP(AB27,$B$7:$E$10,3)</f>
        <v>2.3159999999999998</v>
      </c>
      <c r="AF27" s="115">
        <f t="shared" ref="AF27:AF29" si="34">VLOOKUP(AB27,$AA$45:$AF$48,4)</f>
        <v>2.2117647058823601E-4</v>
      </c>
      <c r="AG27" s="111">
        <f t="shared" ref="AG27:AG29" si="35">VLOOKUP(AB27,$B$7:$E$10,4)</f>
        <v>0.29199999999999998</v>
      </c>
      <c r="AH27" s="115">
        <f t="shared" ref="AH27:AH29" si="36">VLOOKUP(AB27,$AA$45:$AF$48,6)</f>
        <v>1.6000000000000001E-4</v>
      </c>
      <c r="AL27" s="111"/>
      <c r="AM27" s="137">
        <f t="shared" si="23"/>
        <v>0.6220554138173886</v>
      </c>
      <c r="AN27" s="138">
        <f t="shared" si="0"/>
        <v>1</v>
      </c>
      <c r="AO27" s="141">
        <f t="shared" si="18"/>
        <v>0.15534211111211979</v>
      </c>
      <c r="AP27" s="139">
        <f t="shared" si="11"/>
        <v>14.936767532073519</v>
      </c>
      <c r="AQ27" s="137">
        <f t="shared" si="24"/>
        <v>0.64372061605807185</v>
      </c>
      <c r="AR27" s="138">
        <f t="shared" si="1"/>
        <v>1</v>
      </c>
      <c r="AS27" s="141">
        <f t="shared" si="19"/>
        <v>0.2036770320067485</v>
      </c>
      <c r="AT27" s="139">
        <f t="shared" si="12"/>
        <v>20.972304995881338</v>
      </c>
      <c r="AU27" s="137">
        <f t="shared" si="25"/>
        <v>0.78836158697518788</v>
      </c>
      <c r="AV27" s="138">
        <f t="shared" si="2"/>
        <v>1</v>
      </c>
      <c r="AW27" s="141">
        <f t="shared" si="20"/>
        <v>0.54170388002348402</v>
      </c>
      <c r="AX27" s="139">
        <f t="shared" si="13"/>
        <v>83.660821943375495</v>
      </c>
      <c r="AY27" s="137">
        <f t="shared" si="26"/>
        <v>0.85249265976348632</v>
      </c>
      <c r="AZ27" s="138">
        <f t="shared" si="3"/>
        <v>1</v>
      </c>
      <c r="BA27" s="141">
        <f t="shared" si="21"/>
        <v>0.64546546047448383</v>
      </c>
      <c r="BB27" s="139">
        <f t="shared" si="14"/>
        <v>116.56376720252544</v>
      </c>
      <c r="BC27" s="137">
        <f t="shared" si="15"/>
        <v>0.64372061605807185</v>
      </c>
      <c r="BD27" s="138">
        <f t="shared" si="22"/>
        <v>0.135784688004499</v>
      </c>
      <c r="BE27" s="138">
        <f t="shared" si="4"/>
        <v>0.78836158697518788</v>
      </c>
      <c r="BF27" s="138">
        <f t="shared" si="17"/>
        <v>0.11525614468584766</v>
      </c>
      <c r="BG27" s="137">
        <f t="shared" si="27"/>
        <v>0.25624999999999998</v>
      </c>
      <c r="BH27" s="141">
        <f t="shared" si="29"/>
        <v>4.2975455362982258E-2</v>
      </c>
      <c r="BI27" s="137">
        <f t="shared" si="28"/>
        <v>0.25624999999999998</v>
      </c>
      <c r="BJ27" s="141">
        <f t="shared" si="29"/>
        <v>0.23806097560975614</v>
      </c>
    </row>
    <row r="28" spans="1:62" ht="16.5" customHeight="1">
      <c r="E28" s="54" t="s">
        <v>254</v>
      </c>
      <c r="H28" s="54" t="s">
        <v>255</v>
      </c>
      <c r="I28" s="54"/>
      <c r="AA28" s="30" t="s">
        <v>6</v>
      </c>
      <c r="AB28" s="110">
        <f t="shared" si="30"/>
        <v>475</v>
      </c>
      <c r="AC28" s="111">
        <f t="shared" si="31"/>
        <v>0.25</v>
      </c>
      <c r="AD28" s="111">
        <f t="shared" si="32"/>
        <v>0.42348712328071519</v>
      </c>
      <c r="AE28" s="111">
        <f t="shared" si="33"/>
        <v>2.41</v>
      </c>
      <c r="AF28" s="115">
        <f t="shared" si="34"/>
        <v>6.9999999999999398E-5</v>
      </c>
      <c r="AG28" s="111">
        <f t="shared" si="35"/>
        <v>0.36</v>
      </c>
      <c r="AH28" s="115">
        <f t="shared" si="36"/>
        <v>4.6000000000000041E-5</v>
      </c>
      <c r="AL28" s="111"/>
      <c r="AM28" s="137">
        <f t="shared" si="23"/>
        <v>0.65696811627974894</v>
      </c>
      <c r="AN28" s="138">
        <f t="shared" si="0"/>
        <v>1</v>
      </c>
      <c r="AO28" s="141">
        <f t="shared" si="18"/>
        <v>0.14708689632963715</v>
      </c>
      <c r="AP28" s="139">
        <f t="shared" si="11"/>
        <v>15.775089824610973</v>
      </c>
      <c r="AQ28" s="137">
        <f t="shared" si="24"/>
        <v>0.68041431274212694</v>
      </c>
      <c r="AR28" s="138">
        <f t="shared" si="1"/>
        <v>1</v>
      </c>
      <c r="AS28" s="141">
        <f t="shared" si="19"/>
        <v>0.1926930431428977</v>
      </c>
      <c r="AT28" s="139">
        <f t="shared" si="12"/>
        <v>22.16777921107245</v>
      </c>
      <c r="AU28" s="137">
        <f t="shared" si="25"/>
        <v>0.84012268449018246</v>
      </c>
      <c r="AV28" s="138">
        <f t="shared" si="2"/>
        <v>1</v>
      </c>
      <c r="AW28" s="141">
        <f t="shared" si="20"/>
        <v>0.50832876960712658</v>
      </c>
      <c r="AX28" s="139">
        <f t="shared" si="13"/>
        <v>89.153702411347794</v>
      </c>
      <c r="AY28" s="137">
        <f t="shared" si="26"/>
        <v>0.91259286948452956</v>
      </c>
      <c r="AZ28" s="138">
        <f t="shared" si="3"/>
        <v>1</v>
      </c>
      <c r="BA28" s="141">
        <f t="shared" si="21"/>
        <v>0.60295733791582529</v>
      </c>
      <c r="BB28" s="139">
        <f t="shared" si="14"/>
        <v>124.78144130741475</v>
      </c>
      <c r="BC28" s="137">
        <f t="shared" si="15"/>
        <v>0.68041431274212694</v>
      </c>
      <c r="BD28" s="138">
        <f t="shared" si="22"/>
        <v>0.1284620287619318</v>
      </c>
      <c r="BE28" s="138">
        <f t="shared" si="4"/>
        <v>0.84012268449018246</v>
      </c>
      <c r="BF28" s="138">
        <f t="shared" si="17"/>
        <v>0.10815505736321841</v>
      </c>
      <c r="BG28" s="137">
        <f t="shared" si="27"/>
        <v>0.27749999999999997</v>
      </c>
      <c r="BH28" s="141">
        <f t="shared" si="29"/>
        <v>3.96845421144656E-2</v>
      </c>
      <c r="BI28" s="137">
        <f t="shared" si="28"/>
        <v>0.27749999999999997</v>
      </c>
      <c r="BJ28" s="141">
        <f t="shared" si="29"/>
        <v>0.21983108108108113</v>
      </c>
    </row>
    <row r="29" spans="1:62" ht="16.5" customHeight="1">
      <c r="A29" s="136" t="s">
        <v>22</v>
      </c>
      <c r="B29" s="126">
        <f>IF(Forze!D24="","",Forze!D24)</f>
        <v>4.7</v>
      </c>
      <c r="D29" s="54" t="s">
        <v>6</v>
      </c>
      <c r="E29" s="127">
        <f>IF(OR($B$23="",$B$29="",H19=""),"",H19/B29/AB6)</f>
        <v>0.1715843085106383</v>
      </c>
      <c r="G29" s="54" t="s">
        <v>6</v>
      </c>
      <c r="H29" s="127">
        <f>IF(OR($B$23="",$B$29="",H19=""),"",MAX(IF($B$23&lt;D19,H19/B29/AB6*($B$23/D19+(1-$B$23/D19)/D9),IF($B$23&lt;=E19,H19/B29/AB6,IF($B$23&lt;F19,H19/B29/AB6*E19/$B$23,H19/B29/AB6*E19*F19/$B$23^2))),,0.2*$C$19)*IF(B23&gt;AE7,$AB$7/$AB$6,1))</f>
        <v>0.14871279399865259</v>
      </c>
      <c r="I29" s="54"/>
      <c r="AA29" s="30" t="s">
        <v>7</v>
      </c>
      <c r="AB29" s="110">
        <f t="shared" si="30"/>
        <v>975</v>
      </c>
      <c r="AC29" s="111">
        <f t="shared" si="31"/>
        <v>0.33900000000000002</v>
      </c>
      <c r="AD29" s="111">
        <f t="shared" si="32"/>
        <v>0.42348712328071519</v>
      </c>
      <c r="AE29" s="111">
        <f t="shared" si="33"/>
        <v>2.4449999999999998</v>
      </c>
      <c r="AF29" s="115">
        <f t="shared" si="34"/>
        <v>6.9999999999999398E-5</v>
      </c>
      <c r="AG29" s="111">
        <f t="shared" si="35"/>
        <v>0.38300000000000001</v>
      </c>
      <c r="AH29" s="115">
        <f t="shared" si="36"/>
        <v>4.6000000000000041E-5</v>
      </c>
      <c r="AL29" s="111"/>
      <c r="AM29" s="137">
        <f t="shared" si="23"/>
        <v>0.69188081874210927</v>
      </c>
      <c r="AN29" s="138">
        <f t="shared" si="0"/>
        <v>1</v>
      </c>
      <c r="AO29" s="141">
        <f t="shared" si="18"/>
        <v>0.13966480728111455</v>
      </c>
      <c r="AP29" s="139">
        <f t="shared" si="11"/>
        <v>16.613412117148425</v>
      </c>
      <c r="AQ29" s="137">
        <f t="shared" si="24"/>
        <v>0.71710800942618202</v>
      </c>
      <c r="AR29" s="138">
        <f t="shared" si="1"/>
        <v>1</v>
      </c>
      <c r="AS29" s="141">
        <f t="shared" si="19"/>
        <v>0.18283313363795323</v>
      </c>
      <c r="AT29" s="139">
        <f t="shared" si="12"/>
        <v>23.363253426263562</v>
      </c>
      <c r="AU29" s="137">
        <f t="shared" si="25"/>
        <v>0.89188378200517704</v>
      </c>
      <c r="AV29" s="138">
        <f t="shared" si="2"/>
        <v>1</v>
      </c>
      <c r="AW29" s="141">
        <f t="shared" si="20"/>
        <v>0.47882755482535694</v>
      </c>
      <c r="AX29" s="139">
        <f t="shared" si="13"/>
        <v>94.646582879320121</v>
      </c>
      <c r="AY29" s="137">
        <f t="shared" si="26"/>
        <v>0.9726930792055728</v>
      </c>
      <c r="AZ29" s="138">
        <f t="shared" si="3"/>
        <v>1</v>
      </c>
      <c r="BA29" s="141">
        <f t="shared" si="21"/>
        <v>0.56570215101639798</v>
      </c>
      <c r="BB29" s="139">
        <f t="shared" si="14"/>
        <v>132.99911541230409</v>
      </c>
      <c r="BC29" s="137">
        <f t="shared" si="15"/>
        <v>0.71710800942618202</v>
      </c>
      <c r="BD29" s="138">
        <f t="shared" si="22"/>
        <v>0.12188875575863549</v>
      </c>
      <c r="BE29" s="138">
        <f t="shared" si="4"/>
        <v>0.89188378200517704</v>
      </c>
      <c r="BF29" s="138">
        <f t="shared" si="17"/>
        <v>0.10187820315433126</v>
      </c>
      <c r="BG29" s="137">
        <f t="shared" si="27"/>
        <v>0.29874999999999996</v>
      </c>
      <c r="BH29" s="141">
        <f t="shared" si="29"/>
        <v>3.6861792256951312E-2</v>
      </c>
      <c r="BI29" s="137">
        <f t="shared" si="28"/>
        <v>0.29874999999999996</v>
      </c>
      <c r="BJ29" s="141">
        <f t="shared" si="29"/>
        <v>0.2041945606694561</v>
      </c>
    </row>
    <row r="30" spans="1:62" ht="16.5" customHeight="1">
      <c r="A30" s="108"/>
      <c r="B30" s="108"/>
      <c r="C30" s="130" t="str">
        <f>IF(A26="ordinaria","",IF(B29&lt;1,"non deve essere minore di 1",IF(B29&gt;1.5,"non deve essere maggiore di 1.5","")))</f>
        <v/>
      </c>
      <c r="D30" s="54"/>
      <c r="E30" s="120"/>
      <c r="AL30" s="111"/>
      <c r="AM30" s="137">
        <f t="shared" si="23"/>
        <v>0.72679352120446961</v>
      </c>
      <c r="AN30" s="138">
        <f t="shared" si="0"/>
        <v>1</v>
      </c>
      <c r="AO30" s="141">
        <f t="shared" si="18"/>
        <v>0.13295578233963234</v>
      </c>
      <c r="AP30" s="139">
        <f t="shared" si="11"/>
        <v>17.451734409685876</v>
      </c>
      <c r="AQ30" s="137">
        <f t="shared" si="24"/>
        <v>0.75380170611023711</v>
      </c>
      <c r="AR30" s="138">
        <f t="shared" si="1"/>
        <v>1</v>
      </c>
      <c r="AS30" s="141">
        <f t="shared" si="19"/>
        <v>0.17393314907288079</v>
      </c>
      <c r="AT30" s="139">
        <f t="shared" si="12"/>
        <v>24.558727641454674</v>
      </c>
      <c r="AU30" s="137">
        <f t="shared" si="25"/>
        <v>0.94364487952017162</v>
      </c>
      <c r="AV30" s="138">
        <f t="shared" si="2"/>
        <v>1</v>
      </c>
      <c r="AW30" s="141">
        <f t="shared" si="20"/>
        <v>0.45256275935400941</v>
      </c>
      <c r="AX30" s="139">
        <f t="shared" si="13"/>
        <v>100.13946334729242</v>
      </c>
      <c r="AY30" s="137">
        <f t="shared" si="26"/>
        <v>1.032793288926616</v>
      </c>
      <c r="AZ30" s="138">
        <f t="shared" si="3"/>
        <v>1</v>
      </c>
      <c r="BA30" s="141">
        <f t="shared" si="21"/>
        <v>0.53278286476593661</v>
      </c>
      <c r="BB30" s="139">
        <f t="shared" si="14"/>
        <v>141.21678951719343</v>
      </c>
      <c r="BC30" s="137">
        <f t="shared" si="15"/>
        <v>0.75380170611023711</v>
      </c>
      <c r="BD30" s="138">
        <f t="shared" si="22"/>
        <v>0.11595543271525387</v>
      </c>
      <c r="BE30" s="138">
        <f t="shared" si="4"/>
        <v>0.94364487952017162</v>
      </c>
      <c r="BF30" s="138">
        <f t="shared" si="17"/>
        <v>9.6289948798725405E-2</v>
      </c>
      <c r="BG30" s="137">
        <f t="shared" si="27"/>
        <v>0.31999999999999995</v>
      </c>
      <c r="BH30" s="141">
        <f t="shared" si="29"/>
        <v>3.4413938864888138E-2</v>
      </c>
      <c r="BI30" s="137">
        <f t="shared" si="28"/>
        <v>0.31999999999999995</v>
      </c>
      <c r="BJ30" s="141">
        <f t="shared" si="29"/>
        <v>0.19063476562500004</v>
      </c>
    </row>
    <row r="31" spans="1:62" ht="16.5" customHeight="1">
      <c r="C31" s="54"/>
      <c r="AL31" s="111"/>
      <c r="AM31" s="137">
        <f t="shared" si="23"/>
        <v>0.76170622366682994</v>
      </c>
      <c r="AN31" s="138">
        <f t="shared" si="0"/>
        <v>1</v>
      </c>
      <c r="AO31" s="141">
        <f t="shared" si="18"/>
        <v>0.12686177191245188</v>
      </c>
      <c r="AP31" s="139">
        <f t="shared" si="11"/>
        <v>18.290056702223332</v>
      </c>
      <c r="AQ31" s="137">
        <f t="shared" si="24"/>
        <v>0.7904954027942922</v>
      </c>
      <c r="AR31" s="138">
        <f t="shared" si="1"/>
        <v>1</v>
      </c>
      <c r="AS31" s="141">
        <f t="shared" si="19"/>
        <v>0.16585941430753942</v>
      </c>
      <c r="AT31" s="139">
        <f t="shared" si="12"/>
        <v>25.754201856645786</v>
      </c>
      <c r="AU31" s="137">
        <f t="shared" si="25"/>
        <v>0.9954059770351662</v>
      </c>
      <c r="AV31" s="138">
        <f t="shared" si="2"/>
        <v>1</v>
      </c>
      <c r="AW31" s="141">
        <f t="shared" si="20"/>
        <v>0.42902950191029776</v>
      </c>
      <c r="AX31" s="139">
        <f t="shared" si="13"/>
        <v>105.63234381526472</v>
      </c>
      <c r="AY31" s="137">
        <f t="shared" si="26"/>
        <v>1.0928934986476593</v>
      </c>
      <c r="AZ31" s="138">
        <f t="shared" si="3"/>
        <v>1</v>
      </c>
      <c r="BA31" s="141">
        <f t="shared" si="21"/>
        <v>0.50348416187509426</v>
      </c>
      <c r="BB31" s="139">
        <f t="shared" si="14"/>
        <v>149.43446362208277</v>
      </c>
      <c r="BC31" s="137">
        <f t="shared" si="15"/>
        <v>0.7904954027942922</v>
      </c>
      <c r="BD31" s="138">
        <f t="shared" si="22"/>
        <v>0.11057294287169295</v>
      </c>
      <c r="BE31" s="138">
        <f t="shared" si="4"/>
        <v>0.9954059770351662</v>
      </c>
      <c r="BF31" s="138">
        <f t="shared" si="17"/>
        <v>9.1282872746871857E-2</v>
      </c>
      <c r="BG31" s="137">
        <f t="shared" si="27"/>
        <v>0.34124999999999994</v>
      </c>
      <c r="BH31" s="141">
        <f t="shared" si="29"/>
        <v>3.2270946334840157E-2</v>
      </c>
      <c r="BI31" s="137">
        <f t="shared" si="28"/>
        <v>0.34124999999999994</v>
      </c>
      <c r="BJ31" s="141">
        <f t="shared" si="29"/>
        <v>0.17876373626373632</v>
      </c>
    </row>
    <row r="32" spans="1:62" ht="16.5" customHeight="1">
      <c r="C32" s="54"/>
      <c r="AH32" s="111" t="s">
        <v>4</v>
      </c>
      <c r="AI32" s="111" t="s">
        <v>5</v>
      </c>
      <c r="AJ32" s="111" t="s">
        <v>6</v>
      </c>
      <c r="AK32" s="111" t="s">
        <v>7</v>
      </c>
      <c r="AL32" s="111"/>
      <c r="AM32" s="137">
        <f t="shared" si="23"/>
        <v>0.79661892612919027</v>
      </c>
      <c r="AN32" s="138">
        <f t="shared" si="0"/>
        <v>1</v>
      </c>
      <c r="AO32" s="141">
        <f t="shared" si="18"/>
        <v>0.12130191493271829</v>
      </c>
      <c r="AP32" s="139">
        <f t="shared" si="11"/>
        <v>19.12837899476078</v>
      </c>
      <c r="AQ32" s="137">
        <f t="shared" si="24"/>
        <v>0.82718909947834729</v>
      </c>
      <c r="AR32" s="138">
        <f t="shared" si="1"/>
        <v>1</v>
      </c>
      <c r="AS32" s="141">
        <f t="shared" si="19"/>
        <v>0.15850197325248452</v>
      </c>
      <c r="AT32" s="139">
        <f t="shared" si="12"/>
        <v>26.949676071836901</v>
      </c>
      <c r="AU32" s="137">
        <f t="shared" si="25"/>
        <v>1.0471670745501609</v>
      </c>
      <c r="AV32" s="138">
        <f t="shared" si="2"/>
        <v>1</v>
      </c>
      <c r="AW32" s="141">
        <f t="shared" si="20"/>
        <v>0.40782272562321081</v>
      </c>
      <c r="AX32" s="139">
        <f t="shared" si="13"/>
        <v>111.12522428323705</v>
      </c>
      <c r="AY32" s="137">
        <f t="shared" si="26"/>
        <v>1.1529937083687025</v>
      </c>
      <c r="AZ32" s="138">
        <f t="shared" si="3"/>
        <v>1</v>
      </c>
      <c r="BA32" s="141">
        <f t="shared" si="21"/>
        <v>0.47723986973344057</v>
      </c>
      <c r="BB32" s="139">
        <f t="shared" si="14"/>
        <v>157.65213772697211</v>
      </c>
      <c r="BC32" s="137">
        <f t="shared" si="15"/>
        <v>0.82718909947834729</v>
      </c>
      <c r="BD32" s="138">
        <f t="shared" si="22"/>
        <v>0.10566798216832302</v>
      </c>
      <c r="BE32" s="138">
        <f t="shared" si="4"/>
        <v>1.0471670745501609</v>
      </c>
      <c r="BF32" s="138">
        <f t="shared" si="17"/>
        <v>8.6770792685789536E-2</v>
      </c>
      <c r="BG32" s="137">
        <f t="shared" si="27"/>
        <v>0.36249999999999993</v>
      </c>
      <c r="BH32" s="141">
        <f t="shared" si="29"/>
        <v>3.0379201204866771E-2</v>
      </c>
      <c r="BI32" s="137">
        <f t="shared" si="28"/>
        <v>0.36249999999999993</v>
      </c>
      <c r="BJ32" s="141">
        <f t="shared" si="29"/>
        <v>0.16828448275862073</v>
      </c>
    </row>
    <row r="33" spans="3:62" ht="16.5" customHeight="1">
      <c r="C33" s="54"/>
      <c r="AG33" s="144" t="s">
        <v>169</v>
      </c>
      <c r="AH33" s="110">
        <f>$B$13</f>
        <v>0.05</v>
      </c>
      <c r="AI33" s="110">
        <f t="shared" ref="AI33:AK33" si="37">$B$13</f>
        <v>0.05</v>
      </c>
      <c r="AJ33" s="110">
        <f t="shared" si="37"/>
        <v>0.05</v>
      </c>
      <c r="AK33" s="110">
        <f t="shared" si="37"/>
        <v>0.05</v>
      </c>
      <c r="AL33" s="111"/>
      <c r="AM33" s="137">
        <f t="shared" si="23"/>
        <v>0.83153162859155061</v>
      </c>
      <c r="AN33" s="138">
        <f t="shared" si="0"/>
        <v>1</v>
      </c>
      <c r="AO33" s="141">
        <f t="shared" si="18"/>
        <v>0.11620893047061942</v>
      </c>
      <c r="AP33" s="139">
        <f t="shared" si="11"/>
        <v>19.966701287298235</v>
      </c>
      <c r="AQ33" s="137">
        <f t="shared" si="24"/>
        <v>0.86388279616240238</v>
      </c>
      <c r="AR33" s="138">
        <f t="shared" si="1"/>
        <v>1</v>
      </c>
      <c r="AS33" s="141">
        <f t="shared" si="19"/>
        <v>0.15176955149783539</v>
      </c>
      <c r="AT33" s="139">
        <f t="shared" si="12"/>
        <v>28.145150287028013</v>
      </c>
      <c r="AU33" s="137">
        <f t="shared" si="25"/>
        <v>1.0989281720651556</v>
      </c>
      <c r="AV33" s="138">
        <f t="shared" si="2"/>
        <v>1</v>
      </c>
      <c r="AW33" s="141">
        <f t="shared" si="20"/>
        <v>0.38861368866664225</v>
      </c>
      <c r="AX33" s="139">
        <f t="shared" si="13"/>
        <v>116.61810475120937</v>
      </c>
      <c r="AY33" s="137">
        <f t="shared" si="26"/>
        <v>1.2130939180897458</v>
      </c>
      <c r="AZ33" s="138">
        <f t="shared" si="3"/>
        <v>1</v>
      </c>
      <c r="BA33" s="141">
        <f t="shared" si="21"/>
        <v>0.45359601509818781</v>
      </c>
      <c r="BB33" s="139">
        <f t="shared" si="14"/>
        <v>165.86981183186148</v>
      </c>
      <c r="BC33" s="137">
        <f t="shared" si="15"/>
        <v>0.86388279616240238</v>
      </c>
      <c r="BD33" s="138">
        <f t="shared" si="22"/>
        <v>0.10117970099855693</v>
      </c>
      <c r="BE33" s="138">
        <f t="shared" si="4"/>
        <v>1.0989281720651556</v>
      </c>
      <c r="BF33" s="138">
        <f t="shared" si="17"/>
        <v>8.2683763546094094E-2</v>
      </c>
      <c r="BG33" s="137">
        <f t="shared" si="27"/>
        <v>0.38374999999999992</v>
      </c>
      <c r="BH33" s="141">
        <f t="shared" si="29"/>
        <v>2.8696965307528872E-2</v>
      </c>
      <c r="BI33" s="137">
        <f t="shared" si="28"/>
        <v>0.38374999999999992</v>
      </c>
      <c r="BJ33" s="141">
        <f t="shared" si="29"/>
        <v>0.15896579804560265</v>
      </c>
    </row>
    <row r="34" spans="3:62" ht="16.5" customHeight="1">
      <c r="C34" s="54"/>
      <c r="AG34" s="144" t="s">
        <v>12</v>
      </c>
      <c r="AH34" s="111">
        <f>IF($B$13="",1,MAX(SQRT(10/(5+$B$13*100)),0.55))</f>
        <v>1</v>
      </c>
      <c r="AI34" s="111">
        <f t="shared" ref="AI34:AK34" si="38">IF($B$13="",1,MAX(SQRT(10/(5+$B$13*100)),0.55))</f>
        <v>1</v>
      </c>
      <c r="AJ34" s="111">
        <f t="shared" si="38"/>
        <v>1</v>
      </c>
      <c r="AK34" s="111">
        <f t="shared" si="38"/>
        <v>1</v>
      </c>
      <c r="AL34" s="111"/>
      <c r="AM34" s="137">
        <f t="shared" si="23"/>
        <v>0.86644433105391094</v>
      </c>
      <c r="AN34" s="138">
        <f t="shared" si="0"/>
        <v>1</v>
      </c>
      <c r="AO34" s="141">
        <f t="shared" si="18"/>
        <v>0.11152638172792655</v>
      </c>
      <c r="AP34" s="139">
        <f t="shared" si="11"/>
        <v>20.805023579835687</v>
      </c>
      <c r="AQ34" s="137">
        <f t="shared" si="24"/>
        <v>0.90057649284645747</v>
      </c>
      <c r="AR34" s="138">
        <f t="shared" si="1"/>
        <v>1</v>
      </c>
      <c r="AS34" s="141">
        <f t="shared" si="19"/>
        <v>0.14558575041844599</v>
      </c>
      <c r="AT34" s="139">
        <f t="shared" si="12"/>
        <v>29.340624502219121</v>
      </c>
      <c r="AU34" s="137">
        <f t="shared" si="25"/>
        <v>1.1506892695801503</v>
      </c>
      <c r="AV34" s="138">
        <f t="shared" si="2"/>
        <v>1</v>
      </c>
      <c r="AW34" s="141">
        <f t="shared" si="20"/>
        <v>0.37113279997974657</v>
      </c>
      <c r="AX34" s="139">
        <f t="shared" si="13"/>
        <v>122.11098521918167</v>
      </c>
      <c r="AY34" s="137">
        <f t="shared" si="26"/>
        <v>1.273194127810789</v>
      </c>
      <c r="AZ34" s="138">
        <f t="shared" si="3"/>
        <v>1</v>
      </c>
      <c r="BA34" s="141">
        <f t="shared" si="21"/>
        <v>0.43218434264341044</v>
      </c>
      <c r="BB34" s="139">
        <f t="shared" si="14"/>
        <v>174.0874859367508</v>
      </c>
      <c r="BC34" s="137">
        <f t="shared" si="15"/>
        <v>0.90057649284645747</v>
      </c>
      <c r="BD34" s="138">
        <f t="shared" si="22"/>
        <v>9.7057166945630657E-2</v>
      </c>
      <c r="BE34" s="138">
        <f t="shared" si="4"/>
        <v>1.1506892695801503</v>
      </c>
      <c r="BF34" s="138">
        <f t="shared" si="17"/>
        <v>7.8964425527605644E-2</v>
      </c>
      <c r="BG34" s="137">
        <f t="shared" si="27"/>
        <v>0.40499999999999992</v>
      </c>
      <c r="BH34" s="141">
        <f t="shared" si="29"/>
        <v>2.7191260337689396E-2</v>
      </c>
      <c r="BI34" s="137">
        <f t="shared" si="28"/>
        <v>0.40499999999999992</v>
      </c>
      <c r="BJ34" s="141">
        <f t="shared" si="29"/>
        <v>0.15062500000000004</v>
      </c>
    </row>
    <row r="35" spans="3:62" ht="16.5" customHeight="1">
      <c r="C35" s="54"/>
      <c r="AL35" s="111"/>
      <c r="AM35" s="137">
        <f t="shared" si="23"/>
        <v>0.90135703351627128</v>
      </c>
      <c r="AN35" s="138">
        <f t="shared" si="0"/>
        <v>1</v>
      </c>
      <c r="AO35" s="141">
        <f t="shared" si="18"/>
        <v>0.10720657588275428</v>
      </c>
      <c r="AP35" s="139">
        <f t="shared" si="11"/>
        <v>21.643345872373139</v>
      </c>
      <c r="AQ35" s="137">
        <f t="shared" si="24"/>
        <v>0.93727018953051255</v>
      </c>
      <c r="AR35" s="138">
        <f t="shared" si="1"/>
        <v>1</v>
      </c>
      <c r="AS35" s="141">
        <f t="shared" si="19"/>
        <v>0.13988613527326474</v>
      </c>
      <c r="AT35" s="139">
        <f t="shared" si="12"/>
        <v>30.536098717410241</v>
      </c>
      <c r="AU35" s="137">
        <f t="shared" si="25"/>
        <v>1.202450367095145</v>
      </c>
      <c r="AV35" s="138">
        <f t="shared" si="2"/>
        <v>1</v>
      </c>
      <c r="AW35" s="141">
        <f t="shared" si="20"/>
        <v>0.35515688814467239</v>
      </c>
      <c r="AX35" s="139">
        <f t="shared" si="13"/>
        <v>127.603865687154</v>
      </c>
      <c r="AY35" s="137">
        <f t="shared" si="26"/>
        <v>1.3332943375318322</v>
      </c>
      <c r="AZ35" s="138">
        <f t="shared" si="3"/>
        <v>1</v>
      </c>
      <c r="BA35" s="141">
        <f t="shared" si="21"/>
        <v>0.41270299565209012</v>
      </c>
      <c r="BB35" s="139">
        <f t="shared" si="14"/>
        <v>182.30516004164011</v>
      </c>
      <c r="BC35" s="137">
        <f t="shared" si="15"/>
        <v>0.93727018953051255</v>
      </c>
      <c r="BD35" s="138">
        <f t="shared" si="22"/>
        <v>9.3257423515509821E-2</v>
      </c>
      <c r="BE35" s="138">
        <f t="shared" si="4"/>
        <v>1.202450367095145</v>
      </c>
      <c r="BF35" s="138">
        <f t="shared" si="17"/>
        <v>7.5565295349930298E-2</v>
      </c>
      <c r="BG35" s="137">
        <f t="shared" si="27"/>
        <v>0.42624999999999991</v>
      </c>
      <c r="BH35" s="141">
        <f t="shared" si="29"/>
        <v>2.5835684309124234E-2</v>
      </c>
      <c r="BI35" s="137">
        <f t="shared" si="28"/>
        <v>0.42624999999999991</v>
      </c>
      <c r="BJ35" s="141">
        <f t="shared" si="29"/>
        <v>0.14311583577712614</v>
      </c>
    </row>
    <row r="36" spans="3:62" ht="16.5" customHeight="1">
      <c r="C36" s="54"/>
      <c r="J36" s="54"/>
      <c r="R36" s="54" t="s">
        <v>150</v>
      </c>
      <c r="AA36" s="112" t="s">
        <v>256</v>
      </c>
      <c r="AL36" s="111"/>
      <c r="AM36" s="137">
        <f t="shared" si="23"/>
        <v>0.93626973597863161</v>
      </c>
      <c r="AN36" s="138">
        <f t="shared" si="0"/>
        <v>1</v>
      </c>
      <c r="AO36" s="141">
        <f t="shared" si="18"/>
        <v>0.10320893381234085</v>
      </c>
      <c r="AP36" s="139">
        <f t="shared" si="11"/>
        <v>22.481668164910591</v>
      </c>
      <c r="AQ36" s="137">
        <f t="shared" si="24"/>
        <v>0.97396388621456764</v>
      </c>
      <c r="AR36" s="138">
        <f t="shared" si="1"/>
        <v>1</v>
      </c>
      <c r="AS36" s="141">
        <f t="shared" si="19"/>
        <v>0.13461598153278911</v>
      </c>
      <c r="AT36" s="139">
        <f t="shared" si="12"/>
        <v>31.731572932601349</v>
      </c>
      <c r="AU36" s="137">
        <f t="shared" si="25"/>
        <v>1.2542114646101397</v>
      </c>
      <c r="AV36" s="138">
        <f t="shared" si="2"/>
        <v>1</v>
      </c>
      <c r="AW36" s="141">
        <f t="shared" si="20"/>
        <v>0.34049962273202306</v>
      </c>
      <c r="AX36" s="139">
        <f t="shared" si="13"/>
        <v>133.09674615512628</v>
      </c>
      <c r="AY36" s="137">
        <f t="shared" si="26"/>
        <v>1.3933945472528755</v>
      </c>
      <c r="AZ36" s="138">
        <f t="shared" si="3"/>
        <v>1</v>
      </c>
      <c r="BA36" s="141">
        <f t="shared" si="21"/>
        <v>0.39490219641680213</v>
      </c>
      <c r="BB36" s="139">
        <f t="shared" si="14"/>
        <v>190.52283414652945</v>
      </c>
      <c r="BC36" s="137">
        <f t="shared" si="15"/>
        <v>0.97396388621456764</v>
      </c>
      <c r="BD36" s="138">
        <f t="shared" si="22"/>
        <v>8.9743987688526081E-2</v>
      </c>
      <c r="BE36" s="138">
        <f t="shared" si="4"/>
        <v>1.2542114646101397</v>
      </c>
      <c r="BF36" s="138">
        <f t="shared" si="17"/>
        <v>7.2446728240855962E-2</v>
      </c>
      <c r="BG36" s="137">
        <f t="shared" si="27"/>
        <v>0.4474999999999999</v>
      </c>
      <c r="BH36" s="141">
        <f t="shared" si="29"/>
        <v>2.4608850138020572E-2</v>
      </c>
      <c r="BI36" s="137">
        <f t="shared" si="28"/>
        <v>0.4474999999999999</v>
      </c>
      <c r="BJ36" s="141">
        <f t="shared" si="29"/>
        <v>0.13631983240223469</v>
      </c>
    </row>
    <row r="37" spans="3:62" ht="16.5" customHeight="1">
      <c r="J37" s="54"/>
      <c r="AA37" s="30" t="s">
        <v>214</v>
      </c>
      <c r="AB37" s="30" t="s">
        <v>257</v>
      </c>
      <c r="AC37" s="146" t="s">
        <v>270</v>
      </c>
      <c r="AD37" s="30" t="s">
        <v>258</v>
      </c>
      <c r="AE37" s="146" t="s">
        <v>271</v>
      </c>
      <c r="AF37" s="30" t="s">
        <v>167</v>
      </c>
      <c r="AG37" s="145" t="s">
        <v>12</v>
      </c>
      <c r="AH37" s="110"/>
      <c r="AI37" s="110"/>
      <c r="AJ37" s="110"/>
      <c r="AK37" s="110"/>
      <c r="AL37" s="111"/>
      <c r="AM37" s="137">
        <f t="shared" si="23"/>
        <v>0.97118243844099195</v>
      </c>
      <c r="AN37" s="138">
        <f t="shared" si="0"/>
        <v>1</v>
      </c>
      <c r="AO37" s="141">
        <f t="shared" si="18"/>
        <v>9.9498711453468752E-2</v>
      </c>
      <c r="AP37" s="139">
        <f t="shared" si="11"/>
        <v>23.319990457448046</v>
      </c>
      <c r="AQ37" s="137">
        <f t="shared" si="24"/>
        <v>1.0106575828986228</v>
      </c>
      <c r="AR37" s="138">
        <f t="shared" si="1"/>
        <v>1</v>
      </c>
      <c r="AS37" s="141">
        <f t="shared" si="19"/>
        <v>0.12972851214773429</v>
      </c>
      <c r="AT37" s="139">
        <f t="shared" si="12"/>
        <v>32.927047147792464</v>
      </c>
      <c r="AU37" s="137">
        <f t="shared" si="25"/>
        <v>1.3059725621251344</v>
      </c>
      <c r="AV37" s="138">
        <f t="shared" si="2"/>
        <v>1</v>
      </c>
      <c r="AW37" s="141">
        <f t="shared" si="20"/>
        <v>0.3270042134966471</v>
      </c>
      <c r="AX37" s="139">
        <f t="shared" si="13"/>
        <v>138.58962662309861</v>
      </c>
      <c r="AY37" s="137">
        <f t="shared" si="26"/>
        <v>1.4534947569739187</v>
      </c>
      <c r="AZ37" s="138">
        <f t="shared" si="3"/>
        <v>1</v>
      </c>
      <c r="BA37" s="141">
        <f t="shared" si="21"/>
        <v>0.37857347922668139</v>
      </c>
      <c r="BB37" s="139">
        <f t="shared" si="14"/>
        <v>198.74050825141885</v>
      </c>
      <c r="BC37" s="137">
        <f t="shared" si="15"/>
        <v>1.0106575828986228</v>
      </c>
      <c r="BD37" s="138">
        <f t="shared" si="22"/>
        <v>8.6485674765156187E-2</v>
      </c>
      <c r="BE37" s="138">
        <f t="shared" si="4"/>
        <v>1.3059725621251344</v>
      </c>
      <c r="BF37" s="138">
        <f t="shared" si="17"/>
        <v>6.9575364573754697E-2</v>
      </c>
      <c r="BG37" s="137">
        <f t="shared" si="27"/>
        <v>0.46874999999999989</v>
      </c>
      <c r="BH37" s="141">
        <f t="shared" si="29"/>
        <v>2.349324893176364E-2</v>
      </c>
      <c r="BI37" s="137">
        <f t="shared" si="28"/>
        <v>0.46874999999999989</v>
      </c>
      <c r="BJ37" s="141">
        <f t="shared" si="29"/>
        <v>0.13014000000000003</v>
      </c>
    </row>
    <row r="38" spans="3:62" ht="16.5" customHeight="1">
      <c r="J38" s="54"/>
      <c r="AA38" s="110">
        <f>B7</f>
        <v>30</v>
      </c>
      <c r="AB38" s="111">
        <f>LN(B7)</f>
        <v>3.4011973816621555</v>
      </c>
      <c r="AC38" s="111">
        <f>IF(AB39="",AC37,AB39-AB38)</f>
        <v>0.5108256237659905</v>
      </c>
      <c r="AD38" s="111">
        <f>LN(C7)</f>
        <v>-2.7968814148088259</v>
      </c>
      <c r="AE38" s="111">
        <f>AD39-AD38</f>
        <v>0.29584538309094199</v>
      </c>
      <c r="AF38" s="111">
        <f>AF39</f>
        <v>0.49515645696750471</v>
      </c>
      <c r="AG38" s="111">
        <f>1/AF38</f>
        <v>2.0195636872521412</v>
      </c>
      <c r="AL38" s="111"/>
      <c r="AM38" s="137">
        <f t="shared" si="23"/>
        <v>1.0060951409033523</v>
      </c>
      <c r="AN38" s="138">
        <f t="shared" si="0"/>
        <v>1</v>
      </c>
      <c r="AO38" s="141">
        <f t="shared" si="18"/>
        <v>9.6045987384804452E-2</v>
      </c>
      <c r="AP38" s="139">
        <f t="shared" si="11"/>
        <v>24.158312749985498</v>
      </c>
      <c r="AQ38" s="137">
        <f t="shared" si="24"/>
        <v>1.0473512795826778</v>
      </c>
      <c r="AR38" s="138">
        <f t="shared" si="1"/>
        <v>1</v>
      </c>
      <c r="AS38" s="141">
        <f t="shared" si="19"/>
        <v>0.12518350535887598</v>
      </c>
      <c r="AT38" s="139">
        <f t="shared" si="12"/>
        <v>34.122521362983569</v>
      </c>
      <c r="AU38" s="137">
        <f t="shared" si="25"/>
        <v>1.357733659640129</v>
      </c>
      <c r="AV38" s="138">
        <f t="shared" si="2"/>
        <v>1</v>
      </c>
      <c r="AW38" s="141">
        <f t="shared" si="20"/>
        <v>0.31453777955178902</v>
      </c>
      <c r="AX38" s="139">
        <f t="shared" si="13"/>
        <v>144.08250709107091</v>
      </c>
      <c r="AY38" s="137">
        <f t="shared" si="26"/>
        <v>1.513594966694962</v>
      </c>
      <c r="AZ38" s="138">
        <f t="shared" si="3"/>
        <v>1</v>
      </c>
      <c r="BA38" s="141">
        <f t="shared" si="21"/>
        <v>0.3635414885045995</v>
      </c>
      <c r="BB38" s="139">
        <f t="shared" si="14"/>
        <v>206.95818235630816</v>
      </c>
      <c r="BC38" s="137">
        <f t="shared" si="15"/>
        <v>1.0473512795826778</v>
      </c>
      <c r="BD38" s="138">
        <f t="shared" si="22"/>
        <v>8.3455670239250657E-2</v>
      </c>
      <c r="BE38" s="138">
        <f t="shared" si="4"/>
        <v>1.357733659640129</v>
      </c>
      <c r="BF38" s="138">
        <f t="shared" si="17"/>
        <v>6.6922931819529574E-2</v>
      </c>
      <c r="BG38" s="137">
        <f t="shared" si="27"/>
        <v>0.48999999999999988</v>
      </c>
      <c r="BH38" s="141">
        <f t="shared" si="29"/>
        <v>2.2474409054620829E-2</v>
      </c>
      <c r="BI38" s="137">
        <f t="shared" si="28"/>
        <v>0.48999999999999988</v>
      </c>
      <c r="BJ38" s="141">
        <f t="shared" si="29"/>
        <v>0.12449617346938779</v>
      </c>
    </row>
    <row r="39" spans="3:62" ht="16.5" customHeight="1">
      <c r="J39" s="54"/>
      <c r="AA39" s="110">
        <f t="shared" ref="AA39:AA41" si="39">B8</f>
        <v>50</v>
      </c>
      <c r="AB39" s="111">
        <f t="shared" ref="AB39:AB41" si="40">LN(B8)</f>
        <v>3.912023005428146</v>
      </c>
      <c r="AC39" s="111">
        <f t="shared" ref="AC39:AC41" si="41">IF(AB40="",AC38,AB40-AB39)</f>
        <v>2.2512917986064953</v>
      </c>
      <c r="AD39" s="111">
        <f>LN(C8)</f>
        <v>-2.5010360317178839</v>
      </c>
      <c r="AE39" s="111">
        <f>AD40-AD39</f>
        <v>1.1147416705979933</v>
      </c>
      <c r="AF39" s="111">
        <f t="shared" ref="AF39:AF41" si="42">AE39/AC39</f>
        <v>0.49515645696750471</v>
      </c>
      <c r="AG39" s="111">
        <f t="shared" ref="AG39:AG41" si="43">1/AF39</f>
        <v>2.0195636872521412</v>
      </c>
      <c r="AL39" s="111"/>
      <c r="AM39" s="137">
        <f t="shared" si="23"/>
        <v>1.0410078433657126</v>
      </c>
      <c r="AN39" s="138">
        <f t="shared" si="0"/>
        <v>1</v>
      </c>
      <c r="AO39" s="141">
        <f t="shared" si="18"/>
        <v>9.2824854132409471E-2</v>
      </c>
      <c r="AP39" s="139">
        <f t="shared" si="11"/>
        <v>24.996635042522954</v>
      </c>
      <c r="AQ39" s="137">
        <f t="shared" si="24"/>
        <v>1.0840449762667328</v>
      </c>
      <c r="AR39" s="138">
        <f t="shared" si="1"/>
        <v>1</v>
      </c>
      <c r="AS39" s="141">
        <f t="shared" si="19"/>
        <v>0.12094618525126899</v>
      </c>
      <c r="AT39" s="139">
        <f t="shared" si="12"/>
        <v>35.317995578174688</v>
      </c>
      <c r="AU39" s="137">
        <f t="shared" si="25"/>
        <v>1.4094947571551237</v>
      </c>
      <c r="AV39" s="138">
        <f t="shared" si="2"/>
        <v>1</v>
      </c>
      <c r="AW39" s="141">
        <f t="shared" si="20"/>
        <v>0.30298695923345687</v>
      </c>
      <c r="AX39" s="139">
        <f t="shared" si="13"/>
        <v>149.57538755904324</v>
      </c>
      <c r="AY39" s="137">
        <f t="shared" si="26"/>
        <v>1.5736951764160052</v>
      </c>
      <c r="AZ39" s="138">
        <f t="shared" si="3"/>
        <v>1</v>
      </c>
      <c r="BA39" s="141">
        <f t="shared" si="21"/>
        <v>0.3496576563439226</v>
      </c>
      <c r="BB39" s="139">
        <f t="shared" si="14"/>
        <v>215.17585646119753</v>
      </c>
      <c r="BC39" s="137">
        <f t="shared" si="15"/>
        <v>1.0840449762667328</v>
      </c>
      <c r="BD39" s="138">
        <f t="shared" si="22"/>
        <v>8.0630790167512664E-2</v>
      </c>
      <c r="BE39" s="138">
        <f t="shared" si="4"/>
        <v>1.4094947571551237</v>
      </c>
      <c r="BF39" s="138">
        <f t="shared" si="17"/>
        <v>6.4465310475203583E-2</v>
      </c>
      <c r="BG39" s="137">
        <f t="shared" si="27"/>
        <v>0.51124999999999987</v>
      </c>
      <c r="BH39" s="141">
        <f t="shared" si="29"/>
        <v>2.1540264912986221E-2</v>
      </c>
      <c r="BI39" s="137">
        <f t="shared" si="28"/>
        <v>0.51124999999999987</v>
      </c>
      <c r="BJ39" s="141">
        <f t="shared" si="29"/>
        <v>0.11932151589242058</v>
      </c>
    </row>
    <row r="40" spans="3:62" ht="16.5" customHeight="1">
      <c r="J40" s="54"/>
      <c r="AA40" s="110">
        <f t="shared" si="39"/>
        <v>475</v>
      </c>
      <c r="AB40" s="111">
        <f t="shared" si="40"/>
        <v>6.1633148040346413</v>
      </c>
      <c r="AC40" s="111">
        <f t="shared" si="41"/>
        <v>0.71912266696320604</v>
      </c>
      <c r="AD40" s="111">
        <f>LN(C9)</f>
        <v>-1.3862943611198906</v>
      </c>
      <c r="AE40" s="111">
        <f>AD41-AD40</f>
        <v>0.30453918951820391</v>
      </c>
      <c r="AF40" s="111">
        <f t="shared" si="42"/>
        <v>0.42348712328071519</v>
      </c>
      <c r="AG40" s="111">
        <f t="shared" si="43"/>
        <v>2.3613468864250073</v>
      </c>
      <c r="AL40" s="111"/>
      <c r="AM40" s="137">
        <f t="shared" si="23"/>
        <v>1.0759205458280729</v>
      </c>
      <c r="AN40" s="138">
        <f t="shared" si="0"/>
        <v>1</v>
      </c>
      <c r="AO40" s="141">
        <f t="shared" si="18"/>
        <v>8.9812766923922732E-2</v>
      </c>
      <c r="AP40" s="139">
        <f t="shared" si="11"/>
        <v>25.834957335060405</v>
      </c>
      <c r="AQ40" s="137">
        <f t="shared" si="24"/>
        <v>1.1207386729507878</v>
      </c>
      <c r="AR40" s="138">
        <f t="shared" si="1"/>
        <v>1</v>
      </c>
      <c r="AS40" s="141">
        <f t="shared" si="19"/>
        <v>0.11698633025222724</v>
      </c>
      <c r="AT40" s="139">
        <f t="shared" si="12"/>
        <v>36.513469793365793</v>
      </c>
      <c r="AU40" s="137">
        <f t="shared" si="25"/>
        <v>1.4612558546701184</v>
      </c>
      <c r="AV40" s="138">
        <f t="shared" si="2"/>
        <v>1</v>
      </c>
      <c r="AW40" s="141">
        <f t="shared" si="20"/>
        <v>0.29225445301797609</v>
      </c>
      <c r="AX40" s="139">
        <f t="shared" si="13"/>
        <v>155.06826802701556</v>
      </c>
      <c r="AY40" s="137">
        <f t="shared" si="26"/>
        <v>1.6337953861370484</v>
      </c>
      <c r="AZ40" s="138">
        <f t="shared" si="3"/>
        <v>1</v>
      </c>
      <c r="BA40" s="141">
        <f t="shared" si="21"/>
        <v>0.33679527550042848</v>
      </c>
      <c r="BB40" s="139">
        <f t="shared" si="14"/>
        <v>223.39353056608684</v>
      </c>
      <c r="BC40" s="137">
        <f t="shared" si="15"/>
        <v>1.1207386729507878</v>
      </c>
      <c r="BD40" s="138">
        <f t="shared" si="22"/>
        <v>7.7990886834818154E-2</v>
      </c>
      <c r="BE40" s="138">
        <f t="shared" si="4"/>
        <v>1.4612558546701184</v>
      </c>
      <c r="BF40" s="138">
        <f t="shared" si="17"/>
        <v>6.2181798514462996E-2</v>
      </c>
      <c r="BG40" s="137">
        <f t="shared" si="27"/>
        <v>0.53249999999999986</v>
      </c>
      <c r="BH40" s="141">
        <f t="shared" si="29"/>
        <v>2.0680676876552499E-2</v>
      </c>
      <c r="BI40" s="137">
        <f t="shared" si="28"/>
        <v>0.53249999999999986</v>
      </c>
      <c r="BJ40" s="141">
        <f t="shared" si="29"/>
        <v>0.11455985915492961</v>
      </c>
    </row>
    <row r="41" spans="3:62" ht="16.5" customHeight="1">
      <c r="J41" s="54"/>
      <c r="AA41" s="110">
        <f t="shared" si="39"/>
        <v>975</v>
      </c>
      <c r="AB41" s="111">
        <f t="shared" si="40"/>
        <v>6.8824374709978473</v>
      </c>
      <c r="AC41" s="111">
        <f t="shared" si="41"/>
        <v>0.71912266696320604</v>
      </c>
      <c r="AD41" s="111">
        <f>LN(C10)</f>
        <v>-1.0817551716016867</v>
      </c>
      <c r="AE41" s="111">
        <f>AE40</f>
        <v>0.30453918951820391</v>
      </c>
      <c r="AF41" s="111">
        <f t="shared" si="42"/>
        <v>0.42348712328071519</v>
      </c>
      <c r="AG41" s="111">
        <f t="shared" si="43"/>
        <v>2.3613468864250073</v>
      </c>
      <c r="AH41" s="111" t="s">
        <v>4</v>
      </c>
      <c r="AI41" s="111" t="s">
        <v>5</v>
      </c>
      <c r="AJ41" s="111" t="s">
        <v>6</v>
      </c>
      <c r="AK41" s="111" t="s">
        <v>7</v>
      </c>
      <c r="AM41" s="137">
        <f t="shared" si="23"/>
        <v>1.1108332482904333</v>
      </c>
      <c r="AN41" s="138">
        <f t="shared" si="0"/>
        <v>1</v>
      </c>
      <c r="AO41" s="141">
        <f t="shared" si="18"/>
        <v>8.699001525191262E-2</v>
      </c>
      <c r="AP41" s="139">
        <f t="shared" si="11"/>
        <v>26.673279627597854</v>
      </c>
      <c r="AQ41" s="137">
        <f t="shared" si="24"/>
        <v>1.1574323696348428</v>
      </c>
      <c r="AR41" s="138">
        <f t="shared" si="1"/>
        <v>1</v>
      </c>
      <c r="AS41" s="141">
        <f t="shared" si="19"/>
        <v>0.11327755120727086</v>
      </c>
      <c r="AT41" s="139">
        <f t="shared" si="12"/>
        <v>37.708944008556898</v>
      </c>
      <c r="AU41" s="137">
        <f t="shared" si="25"/>
        <v>1.5130169521851131</v>
      </c>
      <c r="AV41" s="138">
        <f t="shared" si="2"/>
        <v>1</v>
      </c>
      <c r="AW41" s="141">
        <f t="shared" si="20"/>
        <v>0.28225627605108372</v>
      </c>
      <c r="AX41" s="139">
        <f t="shared" si="13"/>
        <v>160.56114849498786</v>
      </c>
      <c r="AY41" s="137">
        <f t="shared" si="26"/>
        <v>1.6938955958580917</v>
      </c>
      <c r="AZ41" s="138">
        <f t="shared" si="3"/>
        <v>1</v>
      </c>
      <c r="BA41" s="141">
        <f t="shared" si="21"/>
        <v>0.32484562125956107</v>
      </c>
      <c r="BB41" s="139">
        <f t="shared" si="14"/>
        <v>231.61120467097621</v>
      </c>
      <c r="BC41" s="137">
        <f t="shared" si="15"/>
        <v>1.1574323696348428</v>
      </c>
      <c r="BD41" s="138">
        <f t="shared" si="22"/>
        <v>7.55183674715139E-2</v>
      </c>
      <c r="BE41" s="138">
        <f t="shared" si="4"/>
        <v>1.5130169521851131</v>
      </c>
      <c r="BF41" s="138">
        <f t="shared" si="17"/>
        <v>6.0054526819379513E-2</v>
      </c>
      <c r="BG41" s="137">
        <f t="shared" si="27"/>
        <v>0.55374999999999985</v>
      </c>
      <c r="BH41" s="141">
        <f t="shared" si="29"/>
        <v>1.9887061736820238E-2</v>
      </c>
      <c r="BI41" s="137">
        <f t="shared" si="28"/>
        <v>0.55374999999999985</v>
      </c>
      <c r="BJ41" s="141">
        <f t="shared" si="29"/>
        <v>0.11016365688487588</v>
      </c>
    </row>
    <row r="42" spans="3:62" ht="16.5" customHeight="1">
      <c r="J42" s="54"/>
      <c r="AH42" s="111" t="str">
        <f>IF($A$26="ordinaria","tra TcTd",IF(AM42=$AE$7,"0.8 Tiso","tra TcTd"))</f>
        <v>tra TcTd</v>
      </c>
      <c r="AI42" s="111" t="str">
        <f>IF($A$26="ordinaria","tra TcTd",IF(AQ42=$AE$7,"0.8 Tiso","tra TcTd"))</f>
        <v>tra TcTd</v>
      </c>
      <c r="AJ42" s="111" t="str">
        <f>IF($A$26="ordinaria","tra TcTd",IF(AU42=$AE$7,"0.8 Tiso","tra TcTd"))</f>
        <v>tra TcTd</v>
      </c>
      <c r="AK42" s="111" t="str">
        <f>IF($A$26="ordinaria","tra TcTd",IF(AY42=$AE$7,"0.8 Tiso","tra TcTd"))</f>
        <v>tra TcTd</v>
      </c>
      <c r="AL42" s="145" t="s">
        <v>170</v>
      </c>
      <c r="AM42" s="137">
        <f>IF(A26="ordinaria",(AM22+AM63)/2,IF($AE$7&gt;AO$4,(AM22+AM63)/2,$AE$7))</f>
        <v>1.1457459507527936</v>
      </c>
      <c r="AN42" s="138">
        <f t="shared" si="0"/>
        <v>1</v>
      </c>
      <c r="AO42" s="141">
        <f t="shared" si="18"/>
        <v>8.433929105106272E-2</v>
      </c>
      <c r="AP42" s="139">
        <f t="shared" si="11"/>
        <v>27.511601920135309</v>
      </c>
      <c r="AQ42" s="137">
        <f>IF(E26="ordinaria",(AQ22+AQ63)/2,IF($AE$7&gt;AS$4,(AQ22+AQ63)/2,$AE$7))</f>
        <v>1.1941260663188982</v>
      </c>
      <c r="AR42" s="138">
        <f t="shared" si="1"/>
        <v>1</v>
      </c>
      <c r="AS42" s="141">
        <f t="shared" si="19"/>
        <v>0.10979670255791049</v>
      </c>
      <c r="AT42" s="139">
        <f t="shared" si="12"/>
        <v>38.904418223748024</v>
      </c>
      <c r="AU42" s="137">
        <f>IF(H26="ordinaria",(AU22+AU63)/2,IF($AE$7&gt;AW$4,(AU22+AU63)/2,$AE$7))</f>
        <v>1.5647780497001076</v>
      </c>
      <c r="AV42" s="138">
        <f t="shared" si="2"/>
        <v>1</v>
      </c>
      <c r="AW42" s="141">
        <f t="shared" si="20"/>
        <v>0.2729195559765023</v>
      </c>
      <c r="AX42" s="139">
        <f t="shared" si="13"/>
        <v>166.05402896296016</v>
      </c>
      <c r="AY42" s="137">
        <f>IF(K26="ordinaria",(AY22+AY63)/2,IF($AE$7&gt;BA$4,(AY22+AY63)/2,$AE$7))</f>
        <v>1.7539958055791351</v>
      </c>
      <c r="AZ42" s="138">
        <f t="shared" si="3"/>
        <v>1</v>
      </c>
      <c r="BA42" s="141">
        <f t="shared" si="21"/>
        <v>0.31371487060293901</v>
      </c>
      <c r="BB42" s="139">
        <f t="shared" si="14"/>
        <v>239.82887877586555</v>
      </c>
      <c r="BC42" s="137">
        <f t="shared" si="15"/>
        <v>1.1941260663188982</v>
      </c>
      <c r="BD42" s="138">
        <f t="shared" si="22"/>
        <v>7.3197801705273666E-2</v>
      </c>
      <c r="BE42" s="138">
        <f t="shared" si="4"/>
        <v>1.5647780497001076</v>
      </c>
      <c r="BF42" s="138">
        <f t="shared" si="17"/>
        <v>5.8067990633298358E-2</v>
      </c>
      <c r="BG42" s="137">
        <f>(BG22+BG63)/2</f>
        <v>0.57499999999999996</v>
      </c>
      <c r="BH42" s="141">
        <f t="shared" si="29"/>
        <v>1.9152105107416006E-2</v>
      </c>
      <c r="BI42" s="137">
        <f>(BI22+BI63)/2</f>
        <v>0.57499999999999996</v>
      </c>
      <c r="BJ42" s="141">
        <f t="shared" si="29"/>
        <v>0.10609239130434785</v>
      </c>
    </row>
    <row r="43" spans="3:62" ht="16.5" customHeight="1">
      <c r="J43" s="54"/>
      <c r="AA43" s="112" t="s">
        <v>259</v>
      </c>
      <c r="AH43" s="111" t="str">
        <f t="shared" ref="AH43:AJ43" si="44">AH42</f>
        <v>tra TcTd</v>
      </c>
      <c r="AI43" s="111" t="str">
        <f t="shared" si="44"/>
        <v>tra TcTd</v>
      </c>
      <c r="AJ43" s="111" t="str">
        <f t="shared" si="44"/>
        <v>tra TcTd</v>
      </c>
      <c r="AK43" s="111" t="str">
        <f>AK42</f>
        <v>tra TcTd</v>
      </c>
      <c r="AL43" s="145" t="s">
        <v>170</v>
      </c>
      <c r="AM43" s="137">
        <f>AM42</f>
        <v>1.1457459507527936</v>
      </c>
      <c r="AN43" s="138">
        <f t="shared" ref="AN43:AN83" si="45">$AH$45</f>
        <v>1</v>
      </c>
      <c r="AO43" s="141">
        <f t="shared" si="18"/>
        <v>8.433929105106272E-2</v>
      </c>
      <c r="AP43" s="139">
        <f t="shared" si="11"/>
        <v>27.511601920135309</v>
      </c>
      <c r="AQ43" s="137">
        <f>AQ42</f>
        <v>1.1941260663188982</v>
      </c>
      <c r="AR43" s="138">
        <f t="shared" ref="AR43:AR83" si="46">$AI$45</f>
        <v>1</v>
      </c>
      <c r="AS43" s="141">
        <f t="shared" si="19"/>
        <v>0.10979670255791049</v>
      </c>
      <c r="AT43" s="139">
        <f t="shared" si="12"/>
        <v>38.904418223748024</v>
      </c>
      <c r="AU43" s="137">
        <f>AU42</f>
        <v>1.5647780497001076</v>
      </c>
      <c r="AV43" s="138">
        <f t="shared" ref="AV43:AV83" si="47">$AJ$45</f>
        <v>1</v>
      </c>
      <c r="AW43" s="141">
        <f t="shared" si="20"/>
        <v>0.2729195559765023</v>
      </c>
      <c r="AX43" s="139">
        <f t="shared" si="13"/>
        <v>166.05402896296016</v>
      </c>
      <c r="AY43" s="137">
        <f>AY42</f>
        <v>1.7539958055791351</v>
      </c>
      <c r="AZ43" s="138">
        <f t="shared" ref="AZ43:AZ83" si="48">$AK$45</f>
        <v>1</v>
      </c>
      <c r="BA43" s="141">
        <f t="shared" si="21"/>
        <v>0.31371487060293901</v>
      </c>
      <c r="BB43" s="139">
        <f t="shared" si="14"/>
        <v>239.82887877586555</v>
      </c>
      <c r="BC43" s="137">
        <f t="shared" si="15"/>
        <v>1.1941260663188982</v>
      </c>
      <c r="BD43" s="138">
        <f t="shared" si="22"/>
        <v>7.3197801705273666E-2</v>
      </c>
      <c r="BE43" s="138">
        <f t="shared" si="4"/>
        <v>1.5647780497001076</v>
      </c>
      <c r="BF43" s="138">
        <f t="shared" si="17"/>
        <v>5.8067990633298358E-2</v>
      </c>
      <c r="BG43" s="137">
        <f>BG42</f>
        <v>0.57499999999999996</v>
      </c>
      <c r="BH43" s="141">
        <f t="shared" si="29"/>
        <v>1.9152105107416006E-2</v>
      </c>
      <c r="BI43" s="137">
        <f>BI42</f>
        <v>0.57499999999999996</v>
      </c>
      <c r="BJ43" s="141">
        <f t="shared" si="29"/>
        <v>0.10609239130434785</v>
      </c>
    </row>
    <row r="44" spans="3:62" ht="16.5" customHeight="1">
      <c r="J44" s="54"/>
      <c r="AA44" s="30" t="s">
        <v>214</v>
      </c>
      <c r="AB44" s="146" t="s">
        <v>269</v>
      </c>
      <c r="AC44" s="146" t="s">
        <v>268</v>
      </c>
      <c r="AD44" s="30" t="s">
        <v>167</v>
      </c>
      <c r="AE44" s="146" t="s">
        <v>267</v>
      </c>
      <c r="AF44" s="30" t="s">
        <v>167</v>
      </c>
      <c r="AG44" s="144" t="s">
        <v>169</v>
      </c>
      <c r="AH44" s="110">
        <f>IF(AH43="tra TcTd",$B$13,$E$13)</f>
        <v>0.05</v>
      </c>
      <c r="AI44" s="110">
        <f>IF(AI43="tra TcTd",$B$13,$E$13)</f>
        <v>0.05</v>
      </c>
      <c r="AJ44" s="110">
        <f>IF(AJ43="tra TcTd",$B$13,$E$13)</f>
        <v>0.05</v>
      </c>
      <c r="AK44" s="110">
        <f>IF(AK43="tra TcTd",$B$13,$E$13)</f>
        <v>0.05</v>
      </c>
      <c r="AM44" s="137">
        <f>AM43+(AM$63-AM$43)/20</f>
        <v>1.180658653215154</v>
      </c>
      <c r="AN44" s="138">
        <f t="shared" si="45"/>
        <v>1</v>
      </c>
      <c r="AO44" s="141">
        <f t="shared" si="18"/>
        <v>8.1845333490735098E-2</v>
      </c>
      <c r="AP44" s="139">
        <f t="shared" si="11"/>
        <v>28.349924212672757</v>
      </c>
      <c r="AQ44" s="137">
        <f>AQ43+(AQ$63-AQ$43)/20</f>
        <v>1.2308197630029534</v>
      </c>
      <c r="AR44" s="138">
        <f t="shared" si="46"/>
        <v>1</v>
      </c>
      <c r="AS44" s="141">
        <f t="shared" si="19"/>
        <v>0.10652339884466833</v>
      </c>
      <c r="AT44" s="139">
        <f t="shared" si="12"/>
        <v>40.099892438939136</v>
      </c>
      <c r="AU44" s="137">
        <f>AU43+(AU$63-AU$43)/20</f>
        <v>1.6165391472151023</v>
      </c>
      <c r="AV44" s="138">
        <f t="shared" si="47"/>
        <v>1</v>
      </c>
      <c r="AW44" s="141">
        <f t="shared" si="20"/>
        <v>0.26418075384171613</v>
      </c>
      <c r="AX44" s="139">
        <f t="shared" si="13"/>
        <v>171.54690943093249</v>
      </c>
      <c r="AY44" s="137">
        <f>AY43+(AY$63-AY$43)/20</f>
        <v>1.8140960153001784</v>
      </c>
      <c r="AZ44" s="138">
        <f t="shared" si="48"/>
        <v>1</v>
      </c>
      <c r="BA44" s="141">
        <f t="shared" si="21"/>
        <v>0.30332163377488347</v>
      </c>
      <c r="BB44" s="139">
        <f t="shared" si="14"/>
        <v>248.04655288075486</v>
      </c>
      <c r="BC44" s="137">
        <f t="shared" si="15"/>
        <v>1.2308197630029534</v>
      </c>
      <c r="BD44" s="138">
        <f t="shared" si="22"/>
        <v>7.1015599229778889E-2</v>
      </c>
      <c r="BE44" s="138">
        <f t="shared" si="4"/>
        <v>1.6165391472151023</v>
      </c>
      <c r="BF44" s="138">
        <f t="shared" si="17"/>
        <v>5.6208671030152368E-2</v>
      </c>
      <c r="BG44" s="137">
        <f>BG43+(BG$63-BG$43)/20</f>
        <v>0.59624999999999995</v>
      </c>
      <c r="BH44" s="141">
        <f t="shared" si="29"/>
        <v>1.8469535323713548E-2</v>
      </c>
      <c r="BI44" s="137">
        <f>BI43+(BI$63-BI$43)/20</f>
        <v>0.59624999999999995</v>
      </c>
      <c r="BJ44" s="141">
        <f t="shared" si="29"/>
        <v>0.10231132075471699</v>
      </c>
    </row>
    <row r="45" spans="3:62" ht="16.5" customHeight="1">
      <c r="J45" s="54"/>
      <c r="AA45" s="110">
        <f>B7</f>
        <v>30</v>
      </c>
      <c r="AB45" s="110">
        <f>AA46-AA45</f>
        <v>20</v>
      </c>
      <c r="AC45" s="110">
        <f>D8-D7</f>
        <v>-4.4000000000000039E-2</v>
      </c>
      <c r="AD45" s="115">
        <f>AC45/AB45</f>
        <v>-2.2000000000000019E-3</v>
      </c>
      <c r="AE45" s="111">
        <f>E8-E7</f>
        <v>1.1999999999999955E-2</v>
      </c>
      <c r="AF45" s="115">
        <f>AE45/AB45</f>
        <v>5.9999999999999778E-4</v>
      </c>
      <c r="AG45" s="144" t="s">
        <v>12</v>
      </c>
      <c r="AH45" s="111">
        <f>IF(AH43="tra TcTd",$AB$6,$AB$7)</f>
        <v>1</v>
      </c>
      <c r="AI45" s="111">
        <f>IF(AI43="tra TcTd",$AB$6,$AB$7)</f>
        <v>1</v>
      </c>
      <c r="AJ45" s="111">
        <f>IF(AJ43="tra TcTd",$AB$6,$AB$7)</f>
        <v>1</v>
      </c>
      <c r="AK45" s="111">
        <f>IF(AK43="tra TcTd",$AB$6,$AB$7)</f>
        <v>1</v>
      </c>
      <c r="AM45" s="137">
        <f t="shared" ref="AM45:AM62" si="49">AM44+(AM$63-AM$42)/20</f>
        <v>1.2155713556775143</v>
      </c>
      <c r="AN45" s="138">
        <f t="shared" si="45"/>
        <v>1</v>
      </c>
      <c r="AO45" s="141">
        <f t="shared" si="18"/>
        <v>7.9494634979497103E-2</v>
      </c>
      <c r="AP45" s="139">
        <f t="shared" si="11"/>
        <v>29.188246505210216</v>
      </c>
      <c r="AQ45" s="137">
        <f t="shared" ref="AQ45:AQ62" si="50">AQ44+(AQ$63-AQ$42)/20</f>
        <v>1.2675134596870086</v>
      </c>
      <c r="AR45" s="138">
        <f t="shared" si="46"/>
        <v>1</v>
      </c>
      <c r="AS45" s="141">
        <f t="shared" si="19"/>
        <v>0.10343961519165207</v>
      </c>
      <c r="AT45" s="139">
        <f t="shared" si="12"/>
        <v>41.295366654130248</v>
      </c>
      <c r="AU45" s="137">
        <f t="shared" ref="AU45:AU62" si="51">AU44+(AU$63-AU$42)/20</f>
        <v>1.668300244730097</v>
      </c>
      <c r="AV45" s="138">
        <f t="shared" si="47"/>
        <v>1</v>
      </c>
      <c r="AW45" s="141">
        <f t="shared" si="20"/>
        <v>0.25598421619546158</v>
      </c>
      <c r="AX45" s="139">
        <f t="shared" si="13"/>
        <v>177.03978989890481</v>
      </c>
      <c r="AY45" s="137">
        <f t="shared" ref="AY45:AY62" si="52">AY44+(AY$63-AY$42)/20</f>
        <v>1.8741962250212216</v>
      </c>
      <c r="AZ45" s="138">
        <f t="shared" si="48"/>
        <v>1</v>
      </c>
      <c r="BA45" s="141">
        <f t="shared" si="21"/>
        <v>0.29359496078332226</v>
      </c>
      <c r="BB45" s="139">
        <f t="shared" si="14"/>
        <v>256.2642269856442</v>
      </c>
      <c r="BC45" s="137">
        <f t="shared" si="15"/>
        <v>1.2675134596870086</v>
      </c>
      <c r="BD45" s="138">
        <f t="shared" si="22"/>
        <v>6.8959743461101383E-2</v>
      </c>
      <c r="BE45" s="138">
        <f t="shared" si="4"/>
        <v>1.668300244730097</v>
      </c>
      <c r="BF45" s="138">
        <f t="shared" si="17"/>
        <v>5.4464726850098205E-2</v>
      </c>
      <c r="BG45" s="137">
        <f t="shared" ref="BG45:BG62" si="53">BG44+(BG$63-BG$43)/20</f>
        <v>0.61749999999999994</v>
      </c>
      <c r="BH45" s="141">
        <f t="shared" si="29"/>
        <v>1.783394402714851E-2</v>
      </c>
      <c r="BI45" s="137">
        <f t="shared" ref="BI45:BI62" si="54">BI44+(BI$63-BI$43)/20</f>
        <v>0.61749999999999994</v>
      </c>
      <c r="BJ45" s="141">
        <f t="shared" si="29"/>
        <v>9.8790485829959529E-2</v>
      </c>
    </row>
    <row r="46" spans="3:62" ht="16.5" customHeight="1">
      <c r="J46" s="54"/>
      <c r="AA46" s="110">
        <f t="shared" ref="AA46:AA48" si="55">B8</f>
        <v>50</v>
      </c>
      <c r="AB46" s="110">
        <f t="shared" ref="AB46:AB47" si="56">AA47-AA46</f>
        <v>425</v>
      </c>
      <c r="AC46" s="110">
        <f t="shared" ref="AC46:AC47" si="57">D9-D8</f>
        <v>9.4000000000000306E-2</v>
      </c>
      <c r="AD46" s="115">
        <f t="shared" ref="AD46:AD48" si="58">AC46/AB46</f>
        <v>2.2117647058823601E-4</v>
      </c>
      <c r="AE46" s="111">
        <f t="shared" ref="AE46:AE47" si="59">E9-E8</f>
        <v>6.8000000000000005E-2</v>
      </c>
      <c r="AF46" s="115">
        <f t="shared" ref="AF46:AF48" si="60">AE46/AB46</f>
        <v>1.6000000000000001E-4</v>
      </c>
      <c r="AL46" s="111"/>
      <c r="AM46" s="137">
        <f t="shared" si="49"/>
        <v>1.2504840581398746</v>
      </c>
      <c r="AN46" s="138">
        <f t="shared" si="45"/>
        <v>1</v>
      </c>
      <c r="AO46" s="141">
        <f t="shared" si="18"/>
        <v>7.7275196418623668E-2</v>
      </c>
      <c r="AP46" s="139">
        <f t="shared" si="11"/>
        <v>30.026568797747665</v>
      </c>
      <c r="AQ46" s="137">
        <f t="shared" si="50"/>
        <v>1.3042071563710638</v>
      </c>
      <c r="AR46" s="138">
        <f t="shared" si="46"/>
        <v>1</v>
      </c>
      <c r="AS46" s="141">
        <f t="shared" si="19"/>
        <v>0.1005293552330125</v>
      </c>
      <c r="AT46" s="139">
        <f t="shared" si="12"/>
        <v>42.490840869321367</v>
      </c>
      <c r="AU46" s="137">
        <f t="shared" si="51"/>
        <v>1.7200613422450917</v>
      </c>
      <c r="AV46" s="138">
        <f t="shared" si="47"/>
        <v>1</v>
      </c>
      <c r="AW46" s="141">
        <f t="shared" si="20"/>
        <v>0.24828098861202069</v>
      </c>
      <c r="AX46" s="139">
        <f t="shared" si="13"/>
        <v>182.53267036687711</v>
      </c>
      <c r="AY46" s="137">
        <f t="shared" si="52"/>
        <v>1.9342964347422649</v>
      </c>
      <c r="AZ46" s="138">
        <f t="shared" si="48"/>
        <v>1</v>
      </c>
      <c r="BA46" s="141">
        <f t="shared" si="21"/>
        <v>0.28447271953880987</v>
      </c>
      <c r="BB46" s="139">
        <f t="shared" si="14"/>
        <v>264.4819010905336</v>
      </c>
      <c r="BC46" s="137">
        <f t="shared" si="15"/>
        <v>1.3042071563710638</v>
      </c>
      <c r="BD46" s="138">
        <f t="shared" si="22"/>
        <v>6.7019570155341671E-2</v>
      </c>
      <c r="BE46" s="138">
        <f t="shared" si="4"/>
        <v>1.7200613422450917</v>
      </c>
      <c r="BF46" s="138">
        <f t="shared" si="17"/>
        <v>5.2825742257876743E-2</v>
      </c>
      <c r="BG46" s="137">
        <f t="shared" si="53"/>
        <v>0.63874999999999993</v>
      </c>
      <c r="BH46" s="141">
        <f t="shared" si="29"/>
        <v>1.7240642562448852E-2</v>
      </c>
      <c r="BI46" s="137">
        <f t="shared" si="54"/>
        <v>0.63874999999999993</v>
      </c>
      <c r="BJ46" s="141">
        <f t="shared" si="29"/>
        <v>9.5503913894324874E-2</v>
      </c>
    </row>
    <row r="47" spans="3:62" ht="16.5" customHeight="1">
      <c r="J47" s="54"/>
      <c r="AA47" s="110">
        <f t="shared" si="55"/>
        <v>475</v>
      </c>
      <c r="AB47" s="110">
        <f t="shared" si="56"/>
        <v>500</v>
      </c>
      <c r="AC47" s="110">
        <f t="shared" si="57"/>
        <v>3.4999999999999698E-2</v>
      </c>
      <c r="AD47" s="115">
        <f t="shared" si="58"/>
        <v>6.9999999999999398E-5</v>
      </c>
      <c r="AE47" s="111">
        <f t="shared" si="59"/>
        <v>2.300000000000002E-2</v>
      </c>
      <c r="AF47" s="115">
        <f t="shared" si="60"/>
        <v>4.6000000000000041E-5</v>
      </c>
      <c r="AL47" s="111"/>
      <c r="AM47" s="137">
        <f t="shared" si="49"/>
        <v>1.285396760602235</v>
      </c>
      <c r="AN47" s="138">
        <f t="shared" si="45"/>
        <v>1</v>
      </c>
      <c r="AO47" s="141">
        <f t="shared" si="18"/>
        <v>7.5176322341004367E-2</v>
      </c>
      <c r="AP47" s="139">
        <f t="shared" si="11"/>
        <v>30.864891090285123</v>
      </c>
      <c r="AQ47" s="137">
        <f t="shared" si="50"/>
        <v>1.340900853055119</v>
      </c>
      <c r="AR47" s="138">
        <f t="shared" si="46"/>
        <v>1</v>
      </c>
      <c r="AS47" s="141">
        <f t="shared" si="19"/>
        <v>9.7778373562474208E-2</v>
      </c>
      <c r="AT47" s="139">
        <f t="shared" si="12"/>
        <v>43.686315084512486</v>
      </c>
      <c r="AU47" s="137">
        <f t="shared" si="51"/>
        <v>1.7718224397600864</v>
      </c>
      <c r="AV47" s="138">
        <f t="shared" si="47"/>
        <v>1</v>
      </c>
      <c r="AW47" s="141">
        <f t="shared" si="20"/>
        <v>0.24102783718201271</v>
      </c>
      <c r="AX47" s="139">
        <f t="shared" si="13"/>
        <v>188.02555083484944</v>
      </c>
      <c r="AY47" s="137">
        <f t="shared" si="52"/>
        <v>1.9943966444633081</v>
      </c>
      <c r="AZ47" s="138">
        <f t="shared" si="48"/>
        <v>1</v>
      </c>
      <c r="BA47" s="141">
        <f t="shared" si="21"/>
        <v>0.27590026723767858</v>
      </c>
      <c r="BB47" s="139">
        <f t="shared" si="14"/>
        <v>272.69957519542288</v>
      </c>
      <c r="BC47" s="137">
        <f t="shared" si="15"/>
        <v>1.340900853055119</v>
      </c>
      <c r="BD47" s="138">
        <f t="shared" si="22"/>
        <v>6.5185582374982801E-2</v>
      </c>
      <c r="BE47" s="138">
        <f t="shared" si="4"/>
        <v>1.7718224397600864</v>
      </c>
      <c r="BF47" s="138">
        <f t="shared" si="17"/>
        <v>5.12825185493644E-2</v>
      </c>
      <c r="BG47" s="137">
        <f t="shared" si="53"/>
        <v>0.65999999999999992</v>
      </c>
      <c r="BH47" s="141">
        <f t="shared" si="29"/>
        <v>1.6685546116309399E-2</v>
      </c>
      <c r="BI47" s="137">
        <f t="shared" si="54"/>
        <v>0.65999999999999992</v>
      </c>
      <c r="BJ47" s="141">
        <f t="shared" si="29"/>
        <v>9.2428977272727295E-2</v>
      </c>
    </row>
    <row r="48" spans="3:62" ht="16.5" customHeight="1">
      <c r="J48" s="54"/>
      <c r="AA48" s="110">
        <f t="shared" si="55"/>
        <v>975</v>
      </c>
      <c r="AB48" s="110">
        <f>AB47</f>
        <v>500</v>
      </c>
      <c r="AC48" s="110">
        <f>AC47</f>
        <v>3.4999999999999698E-2</v>
      </c>
      <c r="AD48" s="115">
        <f t="shared" si="58"/>
        <v>6.9999999999999398E-5</v>
      </c>
      <c r="AE48" s="111">
        <f>AE47</f>
        <v>2.300000000000002E-2</v>
      </c>
      <c r="AF48" s="115">
        <f t="shared" si="60"/>
        <v>4.6000000000000041E-5</v>
      </c>
      <c r="AM48" s="137">
        <f t="shared" si="49"/>
        <v>1.3203094630645953</v>
      </c>
      <c r="AN48" s="138">
        <f t="shared" si="45"/>
        <v>1</v>
      </c>
      <c r="AO48" s="141">
        <f t="shared" si="18"/>
        <v>7.3188448552677532E-2</v>
      </c>
      <c r="AP48" s="139">
        <f t="shared" si="11"/>
        <v>31.703213382822568</v>
      </c>
      <c r="AQ48" s="137">
        <f t="shared" si="50"/>
        <v>1.3775945497391742</v>
      </c>
      <c r="AR48" s="138">
        <f t="shared" si="46"/>
        <v>1</v>
      </c>
      <c r="AS48" s="141">
        <f t="shared" si="19"/>
        <v>9.5173942539978532E-2</v>
      </c>
      <c r="AT48" s="139">
        <f t="shared" si="12"/>
        <v>44.881789299703605</v>
      </c>
      <c r="AU48" s="137">
        <f t="shared" si="51"/>
        <v>1.823583537275081</v>
      </c>
      <c r="AV48" s="138">
        <f t="shared" si="47"/>
        <v>1</v>
      </c>
      <c r="AW48" s="141">
        <f t="shared" si="20"/>
        <v>0.23418643664883579</v>
      </c>
      <c r="AX48" s="139">
        <f t="shared" si="13"/>
        <v>193.51843130282174</v>
      </c>
      <c r="AY48" s="137">
        <f t="shared" si="52"/>
        <v>2.0544968541843516</v>
      </c>
      <c r="AZ48" s="138">
        <f t="shared" si="48"/>
        <v>1</v>
      </c>
      <c r="BA48" s="141">
        <f t="shared" si="21"/>
        <v>0.26782935494141252</v>
      </c>
      <c r="BB48" s="139">
        <f t="shared" si="14"/>
        <v>280.91724930031228</v>
      </c>
      <c r="BC48" s="137">
        <f t="shared" si="15"/>
        <v>1.3775945497391742</v>
      </c>
      <c r="BD48" s="138">
        <f t="shared" si="22"/>
        <v>6.344929502665235E-2</v>
      </c>
      <c r="BE48" s="138">
        <f t="shared" si="4"/>
        <v>1.823583537275081</v>
      </c>
      <c r="BF48" s="138">
        <f t="shared" si="17"/>
        <v>0.05</v>
      </c>
      <c r="BG48" s="137">
        <f t="shared" si="53"/>
        <v>0.68124999999999991</v>
      </c>
      <c r="BH48" s="141">
        <f t="shared" si="29"/>
        <v>1.6165079540204335E-2</v>
      </c>
      <c r="BI48" s="137">
        <f t="shared" si="54"/>
        <v>0.68124999999999991</v>
      </c>
      <c r="BJ48" s="141">
        <f t="shared" si="29"/>
        <v>8.9545871559633047E-2</v>
      </c>
    </row>
    <row r="49" spans="10:62" ht="16.5" customHeight="1">
      <c r="J49" s="54"/>
      <c r="AL49" s="111"/>
      <c r="AM49" s="137">
        <f t="shared" si="49"/>
        <v>1.3552221655269556</v>
      </c>
      <c r="AN49" s="138">
        <f t="shared" si="45"/>
        <v>1</v>
      </c>
      <c r="AO49" s="141">
        <f t="shared" si="18"/>
        <v>7.130299641575219E-2</v>
      </c>
      <c r="AP49" s="139">
        <f t="shared" si="11"/>
        <v>32.541535675360031</v>
      </c>
      <c r="AQ49" s="137">
        <f t="shared" si="50"/>
        <v>1.4142882464232294</v>
      </c>
      <c r="AR49" s="138">
        <f t="shared" si="46"/>
        <v>1</v>
      </c>
      <c r="AS49" s="141">
        <f t="shared" si="19"/>
        <v>9.2704655399524841E-2</v>
      </c>
      <c r="AT49" s="139">
        <f t="shared" si="12"/>
        <v>46.077263514894717</v>
      </c>
      <c r="AU49" s="137">
        <f t="shared" si="51"/>
        <v>1.8753446347900757</v>
      </c>
      <c r="AV49" s="138">
        <f t="shared" si="47"/>
        <v>1</v>
      </c>
      <c r="AW49" s="141">
        <f t="shared" si="20"/>
        <v>0.2277226929938321</v>
      </c>
      <c r="AX49" s="139">
        <f t="shared" si="13"/>
        <v>199.01131177079407</v>
      </c>
      <c r="AY49" s="137">
        <f t="shared" si="52"/>
        <v>2.114597063905395</v>
      </c>
      <c r="AZ49" s="138">
        <f t="shared" si="48"/>
        <v>1</v>
      </c>
      <c r="BA49" s="141">
        <f t="shared" si="21"/>
        <v>0.26021721895759425</v>
      </c>
      <c r="BB49" s="139">
        <f t="shared" si="14"/>
        <v>289.13492340520162</v>
      </c>
      <c r="BC49" s="137">
        <f t="shared" si="15"/>
        <v>1.4142882464232294</v>
      </c>
      <c r="BD49" s="138">
        <f t="shared" si="22"/>
        <v>6.1803103599683225E-2</v>
      </c>
      <c r="BE49" s="138">
        <f t="shared" si="4"/>
        <v>1.8753446347900757</v>
      </c>
      <c r="BF49" s="138">
        <f t="shared" si="17"/>
        <v>0.05</v>
      </c>
      <c r="BG49" s="137">
        <f t="shared" si="53"/>
        <v>0.7024999999999999</v>
      </c>
      <c r="BH49" s="141">
        <f t="shared" si="29"/>
        <v>1.5676100265856519E-2</v>
      </c>
      <c r="BI49" s="137">
        <f t="shared" si="54"/>
        <v>0.7024999999999999</v>
      </c>
      <c r="BJ49" s="141">
        <f t="shared" si="29"/>
        <v>8.6837188612099658E-2</v>
      </c>
    </row>
    <row r="50" spans="10:62" ht="16.5" customHeight="1">
      <c r="J50" s="54"/>
      <c r="AL50" s="111"/>
      <c r="AM50" s="137">
        <f t="shared" si="49"/>
        <v>1.390134867989316</v>
      </c>
      <c r="AN50" s="138">
        <f t="shared" si="45"/>
        <v>1</v>
      </c>
      <c r="AO50" s="141">
        <f t="shared" si="18"/>
        <v>6.9512249089099976E-2</v>
      </c>
      <c r="AP50" s="139">
        <f t="shared" si="11"/>
        <v>33.379857967897479</v>
      </c>
      <c r="AQ50" s="137">
        <f t="shared" si="50"/>
        <v>1.4509819431072846</v>
      </c>
      <c r="AR50" s="138">
        <f t="shared" si="46"/>
        <v>1</v>
      </c>
      <c r="AS50" s="141">
        <f t="shared" si="19"/>
        <v>9.0360259232095411E-2</v>
      </c>
      <c r="AT50" s="139">
        <f t="shared" si="12"/>
        <v>47.272737730085829</v>
      </c>
      <c r="AU50" s="137">
        <f t="shared" si="51"/>
        <v>1.9271057323050704</v>
      </c>
      <c r="AV50" s="138">
        <f t="shared" si="47"/>
        <v>1</v>
      </c>
      <c r="AW50" s="141">
        <f t="shared" si="20"/>
        <v>0.22160617519159823</v>
      </c>
      <c r="AX50" s="139">
        <f t="shared" si="13"/>
        <v>204.50419223876639</v>
      </c>
      <c r="AY50" s="137">
        <f t="shared" si="52"/>
        <v>2.1746972736264385</v>
      </c>
      <c r="AZ50" s="138">
        <f t="shared" si="48"/>
        <v>1</v>
      </c>
      <c r="BA50" s="141">
        <f t="shared" si="21"/>
        <v>0.25302582288511982</v>
      </c>
      <c r="BB50" s="139">
        <f t="shared" si="14"/>
        <v>297.35259751009102</v>
      </c>
      <c r="BC50" s="137">
        <f t="shared" si="15"/>
        <v>1.4509819431072846</v>
      </c>
      <c r="BD50" s="138">
        <f t="shared" si="22"/>
        <v>6.0240172821396938E-2</v>
      </c>
      <c r="BE50" s="138">
        <f t="shared" si="4"/>
        <v>1.9271057323050704</v>
      </c>
      <c r="BF50" s="138">
        <f t="shared" si="17"/>
        <v>0.05</v>
      </c>
      <c r="BG50" s="137">
        <f t="shared" si="53"/>
        <v>0.72374999999999989</v>
      </c>
      <c r="BH50" s="141">
        <f t="shared" si="29"/>
        <v>1.521583480036505E-2</v>
      </c>
      <c r="BI50" s="137">
        <f t="shared" si="54"/>
        <v>0.72374999999999989</v>
      </c>
      <c r="BJ50" s="141">
        <f t="shared" si="29"/>
        <v>8.4287564766839393E-2</v>
      </c>
    </row>
    <row r="51" spans="10:62" ht="16.5" customHeight="1">
      <c r="J51" s="54"/>
      <c r="AL51" s="111"/>
      <c r="AM51" s="137">
        <f t="shared" si="49"/>
        <v>1.4250475704516763</v>
      </c>
      <c r="AN51" s="138">
        <f t="shared" si="45"/>
        <v>1</v>
      </c>
      <c r="AO51" s="141">
        <f t="shared" si="18"/>
        <v>6.7809245961163667E-2</v>
      </c>
      <c r="AP51" s="139">
        <f t="shared" si="11"/>
        <v>34.218180260434927</v>
      </c>
      <c r="AQ51" s="137">
        <f t="shared" si="50"/>
        <v>1.4876756397913398</v>
      </c>
      <c r="AR51" s="138">
        <f t="shared" si="46"/>
        <v>1</v>
      </c>
      <c r="AS51" s="141">
        <f t="shared" si="19"/>
        <v>8.813151268555644E-2</v>
      </c>
      <c r="AT51" s="139">
        <f t="shared" si="12"/>
        <v>48.468211945276956</v>
      </c>
      <c r="AU51" s="137">
        <f t="shared" si="51"/>
        <v>1.9788668298200651</v>
      </c>
      <c r="AV51" s="138">
        <f t="shared" si="47"/>
        <v>1</v>
      </c>
      <c r="AW51" s="141">
        <f t="shared" si="20"/>
        <v>0.21580963614654267</v>
      </c>
      <c r="AX51" s="139">
        <f t="shared" si="13"/>
        <v>209.99707270673869</v>
      </c>
      <c r="AY51" s="137">
        <f t="shared" si="52"/>
        <v>2.234797483347482</v>
      </c>
      <c r="AZ51" s="138">
        <f t="shared" si="48"/>
        <v>1</v>
      </c>
      <c r="BA51" s="141">
        <f t="shared" si="21"/>
        <v>0.24622122196107679</v>
      </c>
      <c r="BB51" s="139">
        <f t="shared" si="14"/>
        <v>305.57027161498036</v>
      </c>
      <c r="BC51" s="137">
        <f t="shared" si="15"/>
        <v>1.4876756397913398</v>
      </c>
      <c r="BD51" s="138">
        <f t="shared" si="22"/>
        <v>5.8754341790370958E-2</v>
      </c>
      <c r="BE51" s="138">
        <f t="shared" si="4"/>
        <v>1.9788668298200651</v>
      </c>
      <c r="BF51" s="138">
        <f t="shared" si="17"/>
        <v>0.05</v>
      </c>
      <c r="BG51" s="137">
        <f t="shared" si="53"/>
        <v>0.74499999999999988</v>
      </c>
      <c r="BH51" s="141">
        <f t="shared" si="29"/>
        <v>1.4781826089616382E-2</v>
      </c>
      <c r="BI51" s="137">
        <f t="shared" si="54"/>
        <v>0.74499999999999988</v>
      </c>
      <c r="BJ51" s="141">
        <f t="shared" si="29"/>
        <v>8.1883389261744988E-2</v>
      </c>
    </row>
    <row r="52" spans="10:62" ht="16.5" customHeight="1">
      <c r="J52" s="54"/>
      <c r="AL52" s="111"/>
      <c r="AM52" s="137">
        <f t="shared" si="49"/>
        <v>1.4599602729140366</v>
      </c>
      <c r="AN52" s="138">
        <f t="shared" si="45"/>
        <v>1</v>
      </c>
      <c r="AO52" s="141">
        <f t="shared" si="18"/>
        <v>6.6187692229626963E-2</v>
      </c>
      <c r="AP52" s="139">
        <f t="shared" si="11"/>
        <v>35.056502552972383</v>
      </c>
      <c r="AQ52" s="137">
        <f t="shared" si="50"/>
        <v>1.524369336475395</v>
      </c>
      <c r="AR52" s="138">
        <f t="shared" si="46"/>
        <v>1</v>
      </c>
      <c r="AS52" s="141">
        <f t="shared" si="19"/>
        <v>8.6010064216730617E-2</v>
      </c>
      <c r="AT52" s="139">
        <f t="shared" si="12"/>
        <v>49.663686160468075</v>
      </c>
      <c r="AU52" s="137">
        <f t="shared" si="51"/>
        <v>2.0306279273350598</v>
      </c>
      <c r="AV52" s="138">
        <f t="shared" si="47"/>
        <v>1</v>
      </c>
      <c r="AW52" s="141">
        <f t="shared" si="20"/>
        <v>0.2103086068979611</v>
      </c>
      <c r="AX52" s="139">
        <f t="shared" si="13"/>
        <v>215.48995317471099</v>
      </c>
      <c r="AY52" s="137">
        <f t="shared" si="52"/>
        <v>2.2948976930685254</v>
      </c>
      <c r="AZ52" s="138">
        <f t="shared" si="48"/>
        <v>1</v>
      </c>
      <c r="BA52" s="141">
        <f t="shared" si="21"/>
        <v>0.23977302728890129</v>
      </c>
      <c r="BB52" s="139">
        <f t="shared" si="14"/>
        <v>313.7879457198697</v>
      </c>
      <c r="BC52" s="137">
        <f t="shared" si="15"/>
        <v>1.524369336475395</v>
      </c>
      <c r="BD52" s="138">
        <f t="shared" si="22"/>
        <v>5.7340042811153742E-2</v>
      </c>
      <c r="BE52" s="138">
        <f t="shared" si="4"/>
        <v>2.0306279273350598</v>
      </c>
      <c r="BF52" s="138">
        <f t="shared" si="17"/>
        <v>0.05</v>
      </c>
      <c r="BG52" s="137">
        <f t="shared" si="53"/>
        <v>0.76624999999999988</v>
      </c>
      <c r="BH52" s="141">
        <f t="shared" si="29"/>
        <v>1.4371889640149044E-2</v>
      </c>
      <c r="BI52" s="137">
        <f t="shared" si="54"/>
        <v>0.76624999999999988</v>
      </c>
      <c r="BJ52" s="141">
        <f t="shared" si="29"/>
        <v>7.9612561174551413E-2</v>
      </c>
    </row>
    <row r="53" spans="10:62" ht="16.5" customHeight="1">
      <c r="J53" s="54"/>
      <c r="AL53" s="111"/>
      <c r="AM53" s="137">
        <f t="shared" si="49"/>
        <v>1.494872975376397</v>
      </c>
      <c r="AN53" s="138">
        <f t="shared" si="45"/>
        <v>1</v>
      </c>
      <c r="AO53" s="141">
        <f t="shared" si="18"/>
        <v>6.4641881151664693E-2</v>
      </c>
      <c r="AP53" s="139">
        <f t="shared" si="11"/>
        <v>35.894824845509838</v>
      </c>
      <c r="AQ53" s="137">
        <f t="shared" si="50"/>
        <v>1.5610630331594502</v>
      </c>
      <c r="AR53" s="138">
        <f t="shared" si="46"/>
        <v>1</v>
      </c>
      <c r="AS53" s="141">
        <f t="shared" si="19"/>
        <v>8.3988347514005732E-2</v>
      </c>
      <c r="AT53" s="139">
        <f t="shared" si="12"/>
        <v>50.859160375659179</v>
      </c>
      <c r="AU53" s="137">
        <f t="shared" si="51"/>
        <v>2.0823890248500545</v>
      </c>
      <c r="AV53" s="138">
        <f t="shared" si="47"/>
        <v>1</v>
      </c>
      <c r="AW53" s="141">
        <f t="shared" si="20"/>
        <v>0.20508105134518831</v>
      </c>
      <c r="AX53" s="139">
        <f t="shared" si="13"/>
        <v>220.98283364268332</v>
      </c>
      <c r="AY53" s="137">
        <f t="shared" si="52"/>
        <v>2.3549979027895689</v>
      </c>
      <c r="AZ53" s="138">
        <f t="shared" si="48"/>
        <v>1</v>
      </c>
      <c r="BA53" s="141">
        <f t="shared" si="21"/>
        <v>0.23365395210482454</v>
      </c>
      <c r="BB53" s="139">
        <f t="shared" si="14"/>
        <v>322.00561982475909</v>
      </c>
      <c r="BC53" s="137">
        <f t="shared" si="15"/>
        <v>1.5610630331594502</v>
      </c>
      <c r="BD53" s="138">
        <f t="shared" si="22"/>
        <v>5.5992231676003819E-2</v>
      </c>
      <c r="BE53" s="138">
        <f t="shared" si="4"/>
        <v>2.0823890248500545</v>
      </c>
      <c r="BF53" s="138">
        <f t="shared" si="17"/>
        <v>0.05</v>
      </c>
      <c r="BG53" s="137">
        <f t="shared" si="53"/>
        <v>0.78749999999999987</v>
      </c>
      <c r="BH53" s="141">
        <f t="shared" si="29"/>
        <v>1.3984076745097404E-2</v>
      </c>
      <c r="BI53" s="137">
        <f t="shared" si="54"/>
        <v>0.78749999999999987</v>
      </c>
      <c r="BJ53" s="141">
        <f t="shared" si="29"/>
        <v>7.7464285714285736E-2</v>
      </c>
    </row>
    <row r="54" spans="10:62" ht="16.5" customHeight="1">
      <c r="AL54" s="111"/>
      <c r="AM54" s="137">
        <f t="shared" si="49"/>
        <v>1.5297856778387573</v>
      </c>
      <c r="AN54" s="138">
        <f t="shared" si="45"/>
        <v>1</v>
      </c>
      <c r="AO54" s="141">
        <f t="shared" si="18"/>
        <v>6.3166626940601808E-2</v>
      </c>
      <c r="AP54" s="139">
        <f t="shared" si="11"/>
        <v>36.733147138047293</v>
      </c>
      <c r="AQ54" s="137">
        <f t="shared" si="50"/>
        <v>1.5977567298435054</v>
      </c>
      <c r="AR54" s="138">
        <f t="shared" si="46"/>
        <v>1</v>
      </c>
      <c r="AS54" s="141">
        <f t="shared" si="19"/>
        <v>8.2059491330138609E-2</v>
      </c>
      <c r="AT54" s="139">
        <f t="shared" si="12"/>
        <v>52.054634590850306</v>
      </c>
      <c r="AU54" s="137">
        <f t="shared" si="51"/>
        <v>2.1341501223650492</v>
      </c>
      <c r="AV54" s="138">
        <f t="shared" si="47"/>
        <v>1</v>
      </c>
      <c r="AW54" s="141">
        <f t="shared" si="20"/>
        <v>0.20010707121796453</v>
      </c>
      <c r="AX54" s="139">
        <f t="shared" si="13"/>
        <v>226.47571411065562</v>
      </c>
      <c r="AY54" s="137">
        <f t="shared" si="52"/>
        <v>2.4150981125106123</v>
      </c>
      <c r="AZ54" s="138">
        <f t="shared" si="48"/>
        <v>1</v>
      </c>
      <c r="BA54" s="141">
        <f t="shared" si="21"/>
        <v>0.22783942579183239</v>
      </c>
      <c r="BB54" s="139">
        <f t="shared" si="14"/>
        <v>330.22329392964843</v>
      </c>
      <c r="BC54" s="137">
        <f t="shared" si="15"/>
        <v>1.5977567298435054</v>
      </c>
      <c r="BD54" s="138">
        <f t="shared" si="22"/>
        <v>5.4706327553425742E-2</v>
      </c>
      <c r="BE54" s="138">
        <f t="shared" si="4"/>
        <v>2.1341501223650492</v>
      </c>
      <c r="BF54" s="138">
        <f t="shared" si="17"/>
        <v>0.05</v>
      </c>
      <c r="BG54" s="137">
        <f t="shared" si="53"/>
        <v>0.80874999999999986</v>
      </c>
      <c r="BH54" s="141">
        <f t="shared" si="29"/>
        <v>1.3616643507590979E-2</v>
      </c>
      <c r="BI54" s="137">
        <f t="shared" si="54"/>
        <v>0.80874999999999986</v>
      </c>
      <c r="BJ54" s="141">
        <f t="shared" si="29"/>
        <v>7.5428902627511618E-2</v>
      </c>
    </row>
    <row r="55" spans="10:62" ht="16.5" customHeight="1">
      <c r="AL55" s="111"/>
      <c r="AM55" s="137">
        <f t="shared" si="49"/>
        <v>1.5646983803011176</v>
      </c>
      <c r="AN55" s="138">
        <f t="shared" si="45"/>
        <v>1</v>
      </c>
      <c r="AO55" s="141">
        <f t="shared" si="18"/>
        <v>6.1757206646127064E-2</v>
      </c>
      <c r="AP55" s="139">
        <f t="shared" si="11"/>
        <v>37.571469430584742</v>
      </c>
      <c r="AQ55" s="137">
        <f t="shared" si="50"/>
        <v>1.6344504265275606</v>
      </c>
      <c r="AR55" s="138">
        <f t="shared" si="46"/>
        <v>1</v>
      </c>
      <c r="AS55" s="141">
        <f t="shared" si="19"/>
        <v>8.0217241460674507E-2</v>
      </c>
      <c r="AT55" s="139">
        <f t="shared" si="12"/>
        <v>53.250108806041425</v>
      </c>
      <c r="AU55" s="137">
        <f t="shared" si="51"/>
        <v>2.1859112198800439</v>
      </c>
      <c r="AV55" s="138">
        <f t="shared" si="47"/>
        <v>1</v>
      </c>
      <c r="AW55" s="141">
        <f t="shared" si="20"/>
        <v>0.19536865296357567</v>
      </c>
      <c r="AX55" s="139">
        <f t="shared" si="13"/>
        <v>231.96859457862794</v>
      </c>
      <c r="AY55" s="137">
        <f t="shared" si="52"/>
        <v>2.4751983222316558</v>
      </c>
      <c r="AZ55" s="138">
        <f t="shared" si="48"/>
        <v>1</v>
      </c>
      <c r="BA55" s="141">
        <f t="shared" si="21"/>
        <v>0.22230726412631163</v>
      </c>
      <c r="BB55" s="139">
        <f t="shared" si="14"/>
        <v>338.44096803453783</v>
      </c>
      <c r="BC55" s="137">
        <f t="shared" si="15"/>
        <v>1.6344504265275606</v>
      </c>
      <c r="BD55" s="138">
        <f t="shared" si="22"/>
        <v>5.3478160973783002E-2</v>
      </c>
      <c r="BE55" s="138">
        <f t="shared" si="4"/>
        <v>2.1859112198800439</v>
      </c>
      <c r="BF55" s="138">
        <f t="shared" si="17"/>
        <v>0.05</v>
      </c>
      <c r="BG55" s="137">
        <f t="shared" si="53"/>
        <v>0.82999999999999985</v>
      </c>
      <c r="BH55" s="141">
        <f t="shared" si="29"/>
        <v>1.3268024622607476E-2</v>
      </c>
      <c r="BI55" s="137">
        <f t="shared" si="54"/>
        <v>0.82999999999999985</v>
      </c>
      <c r="BJ55" s="141">
        <f t="shared" si="29"/>
        <v>7.3497740963855446E-2</v>
      </c>
    </row>
    <row r="56" spans="10:62" ht="16.5" customHeight="1">
      <c r="AL56" s="111"/>
      <c r="AM56" s="137">
        <f t="shared" si="49"/>
        <v>1.599611082763478</v>
      </c>
      <c r="AN56" s="138">
        <f t="shared" si="45"/>
        <v>1</v>
      </c>
      <c r="AO56" s="141">
        <f t="shared" si="18"/>
        <v>6.0409309645552495E-2</v>
      </c>
      <c r="AP56" s="139">
        <f t="shared" si="11"/>
        <v>38.409791723122197</v>
      </c>
      <c r="AQ56" s="137">
        <f t="shared" si="50"/>
        <v>1.6711441232116158</v>
      </c>
      <c r="AR56" s="138">
        <f t="shared" si="46"/>
        <v>1</v>
      </c>
      <c r="AS56" s="141">
        <f t="shared" si="19"/>
        <v>7.8455893001193447E-2</v>
      </c>
      <c r="AT56" s="139">
        <f t="shared" si="12"/>
        <v>54.445583021232537</v>
      </c>
      <c r="AU56" s="137">
        <f t="shared" si="51"/>
        <v>2.2376723173950386</v>
      </c>
      <c r="AV56" s="138">
        <f t="shared" si="47"/>
        <v>1</v>
      </c>
      <c r="AW56" s="141">
        <f t="shared" si="20"/>
        <v>0.19084944976353199</v>
      </c>
      <c r="AX56" s="139">
        <f t="shared" si="13"/>
        <v>237.46147504660027</v>
      </c>
      <c r="AY56" s="137">
        <f t="shared" si="52"/>
        <v>2.5352985319526993</v>
      </c>
      <c r="AZ56" s="138">
        <f t="shared" si="48"/>
        <v>1</v>
      </c>
      <c r="BA56" s="141">
        <f t="shared" si="21"/>
        <v>0.21703738642626333</v>
      </c>
      <c r="BB56" s="139">
        <f t="shared" si="14"/>
        <v>346.65864213942717</v>
      </c>
      <c r="BC56" s="137">
        <f t="shared" si="15"/>
        <v>1.6711441232116158</v>
      </c>
      <c r="BD56" s="138">
        <f t="shared" si="22"/>
        <v>5.23039286674623E-2</v>
      </c>
      <c r="BE56" s="138">
        <f t="shared" si="4"/>
        <v>2.2376723173950386</v>
      </c>
      <c r="BF56" s="138">
        <f t="shared" si="17"/>
        <v>0.05</v>
      </c>
      <c r="BG56" s="137">
        <f t="shared" si="53"/>
        <v>0.85124999999999984</v>
      </c>
      <c r="BH56" s="141">
        <f t="shared" si="29"/>
        <v>1.2936811085772928E-2</v>
      </c>
      <c r="BI56" s="137">
        <f t="shared" si="54"/>
        <v>0.85124999999999984</v>
      </c>
      <c r="BJ56" s="141">
        <f t="shared" si="29"/>
        <v>7.1662995594713674E-2</v>
      </c>
    </row>
    <row r="57" spans="10:62" ht="16.5" customHeight="1">
      <c r="AL57" s="111"/>
      <c r="AM57" s="137">
        <f t="shared" si="49"/>
        <v>1.6345237852258383</v>
      </c>
      <c r="AN57" s="138">
        <f t="shared" si="45"/>
        <v>1</v>
      </c>
      <c r="AO57" s="141">
        <f t="shared" si="18"/>
        <v>5.9118993608138347E-2</v>
      </c>
      <c r="AP57" s="139">
        <f t="shared" si="11"/>
        <v>39.248114015659652</v>
      </c>
      <c r="AQ57" s="137">
        <f t="shared" si="50"/>
        <v>1.707837819895671</v>
      </c>
      <c r="AR57" s="138">
        <f t="shared" si="46"/>
        <v>1</v>
      </c>
      <c r="AS57" s="141">
        <f t="shared" si="19"/>
        <v>7.6770231337465702E-2</v>
      </c>
      <c r="AT57" s="139">
        <f t="shared" si="12"/>
        <v>55.641057236423649</v>
      </c>
      <c r="AU57" s="137">
        <f t="shared" si="51"/>
        <v>2.2894334149100333</v>
      </c>
      <c r="AV57" s="138">
        <f t="shared" si="47"/>
        <v>1</v>
      </c>
      <c r="AW57" s="141">
        <f t="shared" si="20"/>
        <v>0.18653459312015525</v>
      </c>
      <c r="AX57" s="139">
        <f t="shared" si="13"/>
        <v>242.9543555145726</v>
      </c>
      <c r="AY57" s="137">
        <f t="shared" si="52"/>
        <v>2.5953987416737427</v>
      </c>
      <c r="AZ57" s="138">
        <f t="shared" si="48"/>
        <v>1</v>
      </c>
      <c r="BA57" s="141">
        <f t="shared" si="21"/>
        <v>0.21201157199856824</v>
      </c>
      <c r="BB57" s="139">
        <f t="shared" si="14"/>
        <v>354.87631624431663</v>
      </c>
      <c r="BC57" s="137">
        <f t="shared" si="15"/>
        <v>1.707837819895671</v>
      </c>
      <c r="BD57" s="138">
        <f t="shared" si="22"/>
        <v>5.1180154224977133E-2</v>
      </c>
      <c r="BE57" s="138">
        <f t="shared" si="4"/>
        <v>2.2894334149100333</v>
      </c>
      <c r="BF57" s="138">
        <f t="shared" si="17"/>
        <v>0.05</v>
      </c>
      <c r="BG57" s="137">
        <f t="shared" si="53"/>
        <v>0.87249999999999983</v>
      </c>
      <c r="BH57" s="141">
        <f t="shared" si="29"/>
        <v>1.2621731159615134E-2</v>
      </c>
      <c r="BI57" s="137">
        <f t="shared" si="54"/>
        <v>0.87249999999999983</v>
      </c>
      <c r="BJ57" s="141">
        <f t="shared" si="29"/>
        <v>6.9917621776504318E-2</v>
      </c>
    </row>
    <row r="58" spans="10:62" ht="16.5" customHeight="1">
      <c r="AL58" s="111"/>
      <c r="AM58" s="137">
        <f t="shared" si="49"/>
        <v>1.6694364876881986</v>
      </c>
      <c r="AN58" s="138">
        <f t="shared" si="45"/>
        <v>1</v>
      </c>
      <c r="AO58" s="141">
        <f t="shared" si="18"/>
        <v>5.7882645984891352E-2</v>
      </c>
      <c r="AP58" s="139">
        <f t="shared" si="11"/>
        <v>40.086436308197094</v>
      </c>
      <c r="AQ58" s="137">
        <f t="shared" si="50"/>
        <v>1.7445315165797262</v>
      </c>
      <c r="AR58" s="138">
        <f t="shared" si="46"/>
        <v>1</v>
      </c>
      <c r="AS58" s="141">
        <f t="shared" si="19"/>
        <v>7.5155480582727488E-2</v>
      </c>
      <c r="AT58" s="139">
        <f t="shared" si="12"/>
        <v>56.836531451614761</v>
      </c>
      <c r="AU58" s="137">
        <f t="shared" si="51"/>
        <v>2.341194512425028</v>
      </c>
      <c r="AV58" s="138">
        <f t="shared" si="47"/>
        <v>1</v>
      </c>
      <c r="AW58" s="141">
        <f t="shared" si="20"/>
        <v>0.18241052943677882</v>
      </c>
      <c r="AX58" s="139">
        <f t="shared" si="13"/>
        <v>248.44723598254487</v>
      </c>
      <c r="AY58" s="137">
        <f t="shared" si="52"/>
        <v>2.6554989513947862</v>
      </c>
      <c r="AZ58" s="138">
        <f t="shared" si="48"/>
        <v>1</v>
      </c>
      <c r="BA58" s="141">
        <f t="shared" si="21"/>
        <v>0.20721324965929208</v>
      </c>
      <c r="BB58" s="139">
        <f t="shared" si="14"/>
        <v>363.09399034920591</v>
      </c>
      <c r="BC58" s="137">
        <f t="shared" si="15"/>
        <v>1.7445315165797262</v>
      </c>
      <c r="BD58" s="138">
        <f t="shared" si="22"/>
        <v>5.0103653721818325E-2</v>
      </c>
      <c r="BE58" s="138">
        <f t="shared" si="4"/>
        <v>2.341194512425028</v>
      </c>
      <c r="BF58" s="138">
        <f t="shared" si="17"/>
        <v>0.05</v>
      </c>
      <c r="BG58" s="137">
        <f t="shared" si="53"/>
        <v>0.89374999999999982</v>
      </c>
      <c r="BH58" s="141">
        <f t="shared" si="29"/>
        <v>1.232163405512079E-2</v>
      </c>
      <c r="BI58" s="137">
        <f t="shared" si="54"/>
        <v>0.89374999999999982</v>
      </c>
      <c r="BJ58" s="141">
        <f t="shared" si="29"/>
        <v>6.8255244755244776E-2</v>
      </c>
    </row>
    <row r="59" spans="10:62" ht="16.5" customHeight="1">
      <c r="AL59" s="111"/>
      <c r="AM59" s="137">
        <f t="shared" si="49"/>
        <v>1.704349190150559</v>
      </c>
      <c r="AN59" s="138">
        <f t="shared" si="45"/>
        <v>1</v>
      </c>
      <c r="AO59" s="141">
        <f t="shared" si="18"/>
        <v>5.6696950231531019E-2</v>
      </c>
      <c r="AP59" s="139">
        <f t="shared" si="11"/>
        <v>40.924758600734556</v>
      </c>
      <c r="AQ59" s="137">
        <f t="shared" si="50"/>
        <v>1.7812252132637814</v>
      </c>
      <c r="AR59" s="138">
        <f t="shared" si="46"/>
        <v>1</v>
      </c>
      <c r="AS59" s="141">
        <f t="shared" si="19"/>
        <v>7.360725838818874E-2</v>
      </c>
      <c r="AT59" s="139">
        <f t="shared" si="12"/>
        <v>58.03200566680588</v>
      </c>
      <c r="AU59" s="137">
        <f t="shared" si="51"/>
        <v>2.3929556099400227</v>
      </c>
      <c r="AV59" s="138">
        <f t="shared" si="47"/>
        <v>1</v>
      </c>
      <c r="AW59" s="141">
        <f t="shared" si="20"/>
        <v>0.17846487780717105</v>
      </c>
      <c r="AX59" s="139">
        <f t="shared" si="13"/>
        <v>253.94011645051719</v>
      </c>
      <c r="AY59" s="137">
        <f t="shared" si="52"/>
        <v>2.7155991611158297</v>
      </c>
      <c r="AZ59" s="138">
        <f t="shared" si="48"/>
        <v>1</v>
      </c>
      <c r="BA59" s="141">
        <f t="shared" si="21"/>
        <v>0.20262731520334487</v>
      </c>
      <c r="BB59" s="139">
        <f t="shared" si="14"/>
        <v>371.31166445409531</v>
      </c>
      <c r="BC59" s="137">
        <f t="shared" si="15"/>
        <v>1.7812252132637814</v>
      </c>
      <c r="BD59" s="138">
        <f t="shared" si="22"/>
        <v>4.9071505592125829E-2</v>
      </c>
      <c r="BE59" s="138">
        <f t="shared" si="4"/>
        <v>2.3929556099400227</v>
      </c>
      <c r="BF59" s="138">
        <f t="shared" si="17"/>
        <v>0.05</v>
      </c>
      <c r="BG59" s="137">
        <f t="shared" si="53"/>
        <v>0.91499999999999981</v>
      </c>
      <c r="BH59" s="141">
        <f t="shared" si="29"/>
        <v>1.2035475887173994E-2</v>
      </c>
      <c r="BI59" s="137">
        <f t="shared" si="54"/>
        <v>0.91499999999999981</v>
      </c>
      <c r="BJ59" s="141">
        <f t="shared" si="29"/>
        <v>6.6670081967213135E-2</v>
      </c>
    </row>
    <row r="60" spans="10:62" ht="16.5" customHeight="1">
      <c r="AL60" s="111"/>
      <c r="AM60" s="137">
        <f t="shared" si="49"/>
        <v>1.7392618926129193</v>
      </c>
      <c r="AN60" s="138">
        <f t="shared" si="45"/>
        <v>1</v>
      </c>
      <c r="AO60" s="141">
        <f t="shared" si="18"/>
        <v>5.5558856099552453E-2</v>
      </c>
      <c r="AP60" s="139">
        <f t="shared" si="11"/>
        <v>41.763080893271997</v>
      </c>
      <c r="AQ60" s="137">
        <f t="shared" si="50"/>
        <v>1.8179189099478366</v>
      </c>
      <c r="AR60" s="138">
        <f t="shared" si="46"/>
        <v>1</v>
      </c>
      <c r="AS60" s="141">
        <f t="shared" si="19"/>
        <v>7.2121536226291777E-2</v>
      </c>
      <c r="AT60" s="139">
        <f t="shared" si="12"/>
        <v>59.227479881996999</v>
      </c>
      <c r="AU60" s="137">
        <f t="shared" si="51"/>
        <v>2.4447167074550173</v>
      </c>
      <c r="AV60" s="138">
        <f t="shared" si="47"/>
        <v>1</v>
      </c>
      <c r="AW60" s="141">
        <f t="shared" si="20"/>
        <v>0.17468630587079526</v>
      </c>
      <c r="AX60" s="139">
        <f t="shared" si="13"/>
        <v>259.43299691848949</v>
      </c>
      <c r="AY60" s="137">
        <f t="shared" si="52"/>
        <v>2.7756993708368731</v>
      </c>
      <c r="AZ60" s="138">
        <f t="shared" si="48"/>
        <v>1</v>
      </c>
      <c r="BA60" s="141">
        <f t="shared" si="21"/>
        <v>0.1982399725873247</v>
      </c>
      <c r="BB60" s="139">
        <f t="shared" si="14"/>
        <v>379.5293385589847</v>
      </c>
      <c r="BC60" s="137">
        <f t="shared" si="15"/>
        <v>1.8179189099478366</v>
      </c>
      <c r="BD60" s="138">
        <f t="shared" si="22"/>
        <v>4.8081024150861185E-2</v>
      </c>
      <c r="BE60" s="138">
        <f t="shared" si="4"/>
        <v>2.4447167074550173</v>
      </c>
      <c r="BF60" s="138">
        <f t="shared" si="17"/>
        <v>0.05</v>
      </c>
      <c r="BG60" s="137">
        <f t="shared" si="53"/>
        <v>0.9362499999999998</v>
      </c>
      <c r="BH60" s="141">
        <f t="shared" si="29"/>
        <v>1.1762307542605292E-2</v>
      </c>
      <c r="BI60" s="137">
        <f t="shared" si="54"/>
        <v>0.9362499999999998</v>
      </c>
      <c r="BJ60" s="141">
        <f t="shared" si="29"/>
        <v>6.5156875834445946E-2</v>
      </c>
    </row>
    <row r="61" spans="10:62" ht="16.5" customHeight="1">
      <c r="AL61" s="111"/>
      <c r="AM61" s="137">
        <f t="shared" si="49"/>
        <v>1.7741745950752796</v>
      </c>
      <c r="AN61" s="138">
        <f t="shared" si="45"/>
        <v>1</v>
      </c>
      <c r="AO61" s="141">
        <f t="shared" si="18"/>
        <v>5.4465553435013699E-2</v>
      </c>
      <c r="AP61" s="139">
        <f t="shared" si="11"/>
        <v>42.601403185809467</v>
      </c>
      <c r="AQ61" s="137">
        <f t="shared" si="50"/>
        <v>1.8546126066318918</v>
      </c>
      <c r="AR61" s="138">
        <f t="shared" si="46"/>
        <v>1</v>
      </c>
      <c r="AS61" s="141">
        <f t="shared" si="19"/>
        <v>7.0694604388768192E-2</v>
      </c>
      <c r="AT61" s="139">
        <f t="shared" si="12"/>
        <v>60.422954097188111</v>
      </c>
      <c r="AU61" s="137">
        <f t="shared" si="51"/>
        <v>2.496477804970012</v>
      </c>
      <c r="AV61" s="138">
        <f t="shared" si="47"/>
        <v>1</v>
      </c>
      <c r="AW61" s="141">
        <f t="shared" si="20"/>
        <v>0.1710644211119115</v>
      </c>
      <c r="AX61" s="139">
        <f t="shared" si="13"/>
        <v>264.92587738646188</v>
      </c>
      <c r="AY61" s="137">
        <f t="shared" si="52"/>
        <v>2.8357995805579166</v>
      </c>
      <c r="AZ61" s="138">
        <f t="shared" si="48"/>
        <v>1</v>
      </c>
      <c r="BA61" s="141">
        <f t="shared" si="21"/>
        <v>0.19403859530760589</v>
      </c>
      <c r="BB61" s="139">
        <f t="shared" si="14"/>
        <v>387.74701266387405</v>
      </c>
      <c r="BC61" s="137">
        <f t="shared" si="15"/>
        <v>1.8546126066318918</v>
      </c>
      <c r="BD61" s="138">
        <f t="shared" si="22"/>
        <v>4.7129736259178795E-2</v>
      </c>
      <c r="BE61" s="138">
        <f t="shared" si="4"/>
        <v>2.496477804970012</v>
      </c>
      <c r="BF61" s="138">
        <f t="shared" si="17"/>
        <v>0.05</v>
      </c>
      <c r="BG61" s="137">
        <f t="shared" si="53"/>
        <v>0.9574999999999998</v>
      </c>
      <c r="BH61" s="141">
        <f t="shared" si="29"/>
        <v>1.1501264163722408E-2</v>
      </c>
      <c r="BI61" s="137">
        <f t="shared" si="54"/>
        <v>0.9574999999999998</v>
      </c>
      <c r="BJ61" s="141">
        <f t="shared" si="29"/>
        <v>6.3710835509138405E-2</v>
      </c>
    </row>
    <row r="62" spans="10:62" ht="16.5" customHeight="1">
      <c r="AL62" s="111"/>
      <c r="AM62" s="137">
        <f t="shared" si="49"/>
        <v>1.80908729753764</v>
      </c>
      <c r="AN62" s="138">
        <f t="shared" si="45"/>
        <v>1</v>
      </c>
      <c r="AO62" s="141">
        <f t="shared" si="18"/>
        <v>5.3414449011190364E-2</v>
      </c>
      <c r="AP62" s="139">
        <f t="shared" si="11"/>
        <v>43.439725478346915</v>
      </c>
      <c r="AQ62" s="137">
        <f t="shared" si="50"/>
        <v>1.891306303315947</v>
      </c>
      <c r="AR62" s="138">
        <f t="shared" si="46"/>
        <v>1</v>
      </c>
      <c r="AS62" s="141">
        <f t="shared" si="19"/>
        <v>6.9323041059183396E-2</v>
      </c>
      <c r="AT62" s="139">
        <f t="shared" si="12"/>
        <v>61.618428312379223</v>
      </c>
      <c r="AU62" s="137">
        <f t="shared" si="51"/>
        <v>2.5482389024850067</v>
      </c>
      <c r="AV62" s="138">
        <f t="shared" si="47"/>
        <v>1</v>
      </c>
      <c r="AW62" s="141">
        <f t="shared" si="20"/>
        <v>0.16758967540659911</v>
      </c>
      <c r="AX62" s="139">
        <f t="shared" si="13"/>
        <v>270.41875785443415</v>
      </c>
      <c r="AY62" s="137">
        <f t="shared" si="52"/>
        <v>2.8958997902789601</v>
      </c>
      <c r="AZ62" s="138">
        <f t="shared" si="48"/>
        <v>1</v>
      </c>
      <c r="BA62" s="141">
        <f t="shared" si="21"/>
        <v>0.19001160503981063</v>
      </c>
      <c r="BB62" s="139">
        <f t="shared" si="14"/>
        <v>395.9646867687635</v>
      </c>
      <c r="BC62" s="137">
        <f t="shared" si="15"/>
        <v>1.891306303315947</v>
      </c>
      <c r="BD62" s="138">
        <f t="shared" si="22"/>
        <v>4.6215360706122262E-2</v>
      </c>
      <c r="BE62" s="138">
        <f t="shared" si="4"/>
        <v>2.5482389024850067</v>
      </c>
      <c r="BF62" s="138">
        <f t="shared" si="17"/>
        <v>0.05</v>
      </c>
      <c r="BG62" s="137">
        <f t="shared" si="53"/>
        <v>0.97874999999999979</v>
      </c>
      <c r="BH62" s="141">
        <f t="shared" si="29"/>
        <v>1.1251556001802509E-2</v>
      </c>
      <c r="BI62" s="137">
        <f t="shared" si="54"/>
        <v>0.97874999999999979</v>
      </c>
      <c r="BJ62" s="141">
        <f t="shared" si="29"/>
        <v>6.2327586206896574E-2</v>
      </c>
    </row>
    <row r="63" spans="10:62" ht="16.5" customHeight="1">
      <c r="AL63" s="111" t="s">
        <v>227</v>
      </c>
      <c r="AM63" s="137">
        <f>AO$4</f>
        <v>1.8440000000000001</v>
      </c>
      <c r="AN63" s="138">
        <f t="shared" si="45"/>
        <v>1</v>
      </c>
      <c r="AO63" s="141">
        <f t="shared" si="18"/>
        <v>5.2403145993013246E-2</v>
      </c>
      <c r="AP63" s="139">
        <f t="shared" si="11"/>
        <v>44.278047770884356</v>
      </c>
      <c r="AQ63" s="137">
        <f>AS$4</f>
        <v>1.9280000000000002</v>
      </c>
      <c r="AR63" s="138">
        <f t="shared" si="46"/>
        <v>1</v>
      </c>
      <c r="AS63" s="141">
        <f t="shared" si="19"/>
        <v>6.800368491714924E-2</v>
      </c>
      <c r="AT63" s="139">
        <f t="shared" si="12"/>
        <v>62.813902527570264</v>
      </c>
      <c r="AU63" s="137">
        <f>AW$4</f>
        <v>2.6</v>
      </c>
      <c r="AV63" s="138">
        <f t="shared" si="47"/>
        <v>1</v>
      </c>
      <c r="AW63" s="141">
        <f t="shared" si="20"/>
        <v>0.16425328097151176</v>
      </c>
      <c r="AX63" s="139">
        <f>AW63*9.81*(AU63)^2*$AL$135</f>
        <v>275.9116383224063</v>
      </c>
      <c r="AY63" s="137">
        <f>BA$4</f>
        <v>2.9560000000000004</v>
      </c>
      <c r="AZ63" s="138">
        <f t="shared" si="48"/>
        <v>1</v>
      </c>
      <c r="BA63" s="141">
        <f t="shared" si="21"/>
        <v>0.18614836508300273</v>
      </c>
      <c r="BB63" s="139">
        <f t="shared" si="14"/>
        <v>404.18236087365239</v>
      </c>
      <c r="BC63" s="137">
        <f t="shared" si="15"/>
        <v>1.9280000000000002</v>
      </c>
      <c r="BD63" s="138">
        <f t="shared" si="22"/>
        <v>4.5335789944766162E-2</v>
      </c>
      <c r="BE63" s="138">
        <f t="shared" si="4"/>
        <v>2.6</v>
      </c>
      <c r="BF63" s="138">
        <f t="shared" si="17"/>
        <v>0.05</v>
      </c>
      <c r="BG63" s="137">
        <f>BH$4</f>
        <v>1</v>
      </c>
      <c r="BH63" s="141">
        <f t="shared" si="29"/>
        <v>1.1012460436764203E-2</v>
      </c>
      <c r="BI63" s="137">
        <f>BJ$4</f>
        <v>1</v>
      </c>
      <c r="BJ63" s="141">
        <f t="shared" si="29"/>
        <v>6.1003125000000005E-2</v>
      </c>
    </row>
    <row r="64" spans="10:62" ht="16.5" customHeight="1">
      <c r="AL64" s="111"/>
      <c r="AM64" s="137">
        <f>AM63+(AM$83-AM$63)/20</f>
        <v>1.8729</v>
      </c>
      <c r="AN64" s="138">
        <f t="shared" si="45"/>
        <v>1</v>
      </c>
      <c r="AO64" s="141">
        <f t="shared" ref="AO64:AO127" si="61">AO$7*AM$22*AM$63/AM64^2*AN64</f>
        <v>5.0798397779877276E-2</v>
      </c>
      <c r="AP64" s="139">
        <f t="shared" si="11"/>
        <v>44.278047770884356</v>
      </c>
      <c r="AQ64" s="137">
        <f>AQ63+(AQ$83-AQ$63)/20</f>
        <v>1.9816000000000003</v>
      </c>
      <c r="AR64" s="138">
        <f t="shared" si="46"/>
        <v>1</v>
      </c>
      <c r="AS64" s="141">
        <f t="shared" ref="AS64:AS127" si="62">AS$7*AQ$22*AQ$63/AQ64^2*AR64</f>
        <v>6.4374596284573746E-2</v>
      </c>
      <c r="AT64" s="139">
        <f t="shared" si="12"/>
        <v>62.813902527570278</v>
      </c>
      <c r="AU64" s="137">
        <f>AU63+(AU$83-AU$63)/20</f>
        <v>2.62</v>
      </c>
      <c r="AV64" s="138">
        <f t="shared" si="47"/>
        <v>1</v>
      </c>
      <c r="AW64" s="141">
        <f t="shared" ref="AW64:AW127" si="63">AW$7*AU$22*AU$63/AU64^2*AV64</f>
        <v>0.16175516860430911</v>
      </c>
      <c r="AX64" s="139">
        <f t="shared" si="13"/>
        <v>275.9116383224063</v>
      </c>
      <c r="AY64" s="137">
        <f>AY63+(AY$83-AY$63)/20</f>
        <v>2.9582000000000006</v>
      </c>
      <c r="AZ64" s="138">
        <f t="shared" si="48"/>
        <v>1</v>
      </c>
      <c r="BA64" s="141">
        <f t="shared" ref="BA64:BA127" si="64">BA$7*AY$22*AY$63/AY64^2*AZ64</f>
        <v>0.18587159263914296</v>
      </c>
      <c r="BB64" s="139">
        <f t="shared" si="14"/>
        <v>404.18236087365239</v>
      </c>
      <c r="BC64" s="137">
        <f t="shared" si="15"/>
        <v>1.9816000000000003</v>
      </c>
      <c r="BD64" s="138">
        <f t="shared" si="22"/>
        <v>4.2916397523049161E-2</v>
      </c>
      <c r="BE64" s="138">
        <f t="shared" si="4"/>
        <v>2.62</v>
      </c>
      <c r="BF64" s="138">
        <f t="shared" si="17"/>
        <v>0.05</v>
      </c>
      <c r="BG64" s="137">
        <f>BG63+(BG$83-BG$63)/20</f>
        <v>1.05</v>
      </c>
      <c r="BH64" s="141">
        <f>BH$22*BG$22*$BG$63/BG64^2</f>
        <v>9.9886262464981435E-3</v>
      </c>
      <c r="BI64" s="137">
        <f>BI63+(BI$83-BI$63)/20</f>
        <v>1.05</v>
      </c>
      <c r="BJ64" s="141">
        <f>BJ$22*BI$22*$BG$63/BI64^2</f>
        <v>5.5331632653061229E-2</v>
      </c>
    </row>
    <row r="65" spans="25:62" ht="16.5" customHeight="1">
      <c r="AL65" s="111"/>
      <c r="AM65" s="137">
        <f t="shared" ref="AM65:AM82" si="65">AM64+(AM$83-AM$63)/20</f>
        <v>1.9017999999999999</v>
      </c>
      <c r="AN65" s="138">
        <f t="shared" si="45"/>
        <v>1</v>
      </c>
      <c r="AO65" s="141">
        <f t="shared" si="61"/>
        <v>4.9266250155010516E-2</v>
      </c>
      <c r="AP65" s="139">
        <f t="shared" si="11"/>
        <v>44.278047770884356</v>
      </c>
      <c r="AQ65" s="137">
        <f t="shared" ref="AQ65:AQ82" si="66">AQ64+(AQ$83-AQ$63)/20</f>
        <v>2.0352000000000001</v>
      </c>
      <c r="AR65" s="138">
        <f t="shared" si="46"/>
        <v>1</v>
      </c>
      <c r="AS65" s="141">
        <f t="shared" si="62"/>
        <v>6.1028446876992382E-2</v>
      </c>
      <c r="AT65" s="139">
        <f t="shared" si="12"/>
        <v>62.813902527570285</v>
      </c>
      <c r="AU65" s="137">
        <f t="shared" ref="AU65:AU82" si="67">AU64+(AU$83-AU$63)/20</f>
        <v>2.64</v>
      </c>
      <c r="AV65" s="138">
        <f t="shared" si="47"/>
        <v>1</v>
      </c>
      <c r="AW65" s="141">
        <f t="shared" si="63"/>
        <v>0.15931361618563755</v>
      </c>
      <c r="AX65" s="139">
        <f t="shared" si="13"/>
        <v>275.9116383224063</v>
      </c>
      <c r="AY65" s="137">
        <f t="shared" ref="AY65:AY82" si="68">AY64+(AY$83-AY$63)/20</f>
        <v>2.9604000000000008</v>
      </c>
      <c r="AZ65" s="138">
        <f t="shared" si="48"/>
        <v>1</v>
      </c>
      <c r="BA65" s="141">
        <f t="shared" si="64"/>
        <v>0.18559543701034079</v>
      </c>
      <c r="BB65" s="139">
        <f t="shared" si="14"/>
        <v>404.18236087365239</v>
      </c>
      <c r="BC65" s="137">
        <f t="shared" si="15"/>
        <v>2.0352000000000001</v>
      </c>
      <c r="BD65" s="138">
        <f t="shared" si="22"/>
        <v>4.0685631251328257E-2</v>
      </c>
      <c r="BE65" s="138">
        <f t="shared" si="4"/>
        <v>2.64</v>
      </c>
      <c r="BF65" s="138">
        <f t="shared" si="17"/>
        <v>0.05</v>
      </c>
      <c r="BG65" s="137">
        <f t="shared" ref="BG65:BG82" si="69">BG64+(BG$83-BG$63)/20</f>
        <v>1.1000000000000001</v>
      </c>
      <c r="BH65" s="141">
        <f t="shared" ref="BH65:BJ104" si="70">BH$22*BG$22*$BG$63/BG65^2</f>
        <v>9.1012069725323972E-3</v>
      </c>
      <c r="BI65" s="137">
        <f t="shared" ref="BI65:BI82" si="71">BI64+(BI$83-BI$63)/20</f>
        <v>1.1000000000000001</v>
      </c>
      <c r="BJ65" s="141">
        <f t="shared" si="70"/>
        <v>5.0415805785123967E-2</v>
      </c>
    </row>
    <row r="66" spans="25:62" ht="16.5" customHeight="1">
      <c r="AL66" s="111"/>
      <c r="AM66" s="137">
        <f t="shared" si="65"/>
        <v>1.9306999999999999</v>
      </c>
      <c r="AN66" s="138">
        <f t="shared" si="45"/>
        <v>1</v>
      </c>
      <c r="AO66" s="141">
        <f t="shared" si="61"/>
        <v>4.7802388884362709E-2</v>
      </c>
      <c r="AP66" s="139">
        <f t="shared" si="11"/>
        <v>44.278047770884356</v>
      </c>
      <c r="AQ66" s="137">
        <f t="shared" si="66"/>
        <v>2.0888</v>
      </c>
      <c r="AR66" s="138">
        <f t="shared" si="46"/>
        <v>1</v>
      </c>
      <c r="AS66" s="141">
        <f t="shared" si="62"/>
        <v>5.7936571032417949E-2</v>
      </c>
      <c r="AT66" s="139">
        <f t="shared" si="12"/>
        <v>62.813902527570278</v>
      </c>
      <c r="AU66" s="137">
        <f t="shared" si="67"/>
        <v>2.66</v>
      </c>
      <c r="AV66" s="138">
        <f t="shared" si="47"/>
        <v>1</v>
      </c>
      <c r="AW66" s="141">
        <f t="shared" si="63"/>
        <v>0.15692692907561473</v>
      </c>
      <c r="AX66" s="139">
        <f t="shared" si="13"/>
        <v>275.9116383224063</v>
      </c>
      <c r="AY66" s="137">
        <f t="shared" si="68"/>
        <v>2.962600000000001</v>
      </c>
      <c r="AZ66" s="138">
        <f t="shared" si="48"/>
        <v>1</v>
      </c>
      <c r="BA66" s="141">
        <f t="shared" si="64"/>
        <v>0.18531989636511145</v>
      </c>
      <c r="BB66" s="139">
        <f t="shared" si="14"/>
        <v>404.18236087365239</v>
      </c>
      <c r="BC66" s="137">
        <f t="shared" si="15"/>
        <v>2.0888</v>
      </c>
      <c r="BD66" s="138">
        <f t="shared" si="22"/>
        <v>3.8624380688278635E-2</v>
      </c>
      <c r="BE66" s="138">
        <f t="shared" si="4"/>
        <v>2.66</v>
      </c>
      <c r="BF66" s="138">
        <f t="shared" si="17"/>
        <v>0.05</v>
      </c>
      <c r="BG66" s="137">
        <f t="shared" si="69"/>
        <v>1.1500000000000001</v>
      </c>
      <c r="BH66" s="141">
        <f t="shared" si="70"/>
        <v>8.3270022206156525E-3</v>
      </c>
      <c r="BI66" s="137">
        <f t="shared" si="71"/>
        <v>1.1500000000000001</v>
      </c>
      <c r="BJ66" s="141">
        <f t="shared" si="70"/>
        <v>4.6127126654064265E-2</v>
      </c>
    </row>
    <row r="67" spans="25:62" ht="16.5" customHeight="1">
      <c r="AL67" s="111"/>
      <c r="AM67" s="137">
        <f t="shared" si="65"/>
        <v>1.9595999999999998</v>
      </c>
      <c r="AN67" s="138">
        <f t="shared" si="45"/>
        <v>1</v>
      </c>
      <c r="AO67" s="141">
        <f t="shared" si="61"/>
        <v>4.6402815499675072E-2</v>
      </c>
      <c r="AP67" s="139">
        <f t="shared" si="11"/>
        <v>44.278047770884356</v>
      </c>
      <c r="AQ67" s="137">
        <f t="shared" si="66"/>
        <v>2.1423999999999999</v>
      </c>
      <c r="AR67" s="138">
        <f t="shared" si="46"/>
        <v>1</v>
      </c>
      <c r="AS67" s="141">
        <f t="shared" si="62"/>
        <v>5.5073843516710248E-2</v>
      </c>
      <c r="AT67" s="139">
        <f t="shared" si="12"/>
        <v>62.813902527570278</v>
      </c>
      <c r="AU67" s="137">
        <f t="shared" si="67"/>
        <v>2.68</v>
      </c>
      <c r="AV67" s="138">
        <f t="shared" si="47"/>
        <v>1</v>
      </c>
      <c r="AW67" s="141">
        <f t="shared" si="63"/>
        <v>0.15459347563034911</v>
      </c>
      <c r="AX67" s="139">
        <f t="shared" si="13"/>
        <v>275.9116383224063</v>
      </c>
      <c r="AY67" s="137">
        <f t="shared" si="68"/>
        <v>2.9648000000000012</v>
      </c>
      <c r="AZ67" s="138">
        <f t="shared" si="48"/>
        <v>1</v>
      </c>
      <c r="BA67" s="141">
        <f t="shared" si="64"/>
        <v>0.18504496887876301</v>
      </c>
      <c r="BB67" s="139">
        <f t="shared" si="14"/>
        <v>404.18236087365244</v>
      </c>
      <c r="BC67" s="137">
        <f t="shared" si="15"/>
        <v>2.1423999999999999</v>
      </c>
      <c r="BD67" s="138">
        <f t="shared" si="22"/>
        <v>3.671589567780683E-2</v>
      </c>
      <c r="BE67" s="138">
        <f t="shared" si="4"/>
        <v>2.68</v>
      </c>
      <c r="BF67" s="138">
        <f t="shared" si="17"/>
        <v>0.05</v>
      </c>
      <c r="BG67" s="137">
        <f t="shared" si="69"/>
        <v>1.2000000000000002</v>
      </c>
      <c r="BH67" s="141">
        <f t="shared" si="70"/>
        <v>7.6475419699751392E-3</v>
      </c>
      <c r="BI67" s="137">
        <f t="shared" si="71"/>
        <v>1.2000000000000002</v>
      </c>
      <c r="BJ67" s="141">
        <f t="shared" si="70"/>
        <v>4.2363281249999996E-2</v>
      </c>
    </row>
    <row r="68" spans="25:62" ht="16.5" customHeight="1">
      <c r="AL68" s="111"/>
      <c r="AM68" s="137">
        <f t="shared" si="65"/>
        <v>1.9884999999999997</v>
      </c>
      <c r="AN68" s="138">
        <f t="shared" si="45"/>
        <v>1</v>
      </c>
      <c r="AO68" s="141">
        <f t="shared" si="61"/>
        <v>4.5063819965378948E-2</v>
      </c>
      <c r="AP68" s="139">
        <f t="shared" si="11"/>
        <v>44.278047770884363</v>
      </c>
      <c r="AQ68" s="137">
        <f t="shared" si="66"/>
        <v>2.1959999999999997</v>
      </c>
      <c r="AR68" s="138">
        <f t="shared" si="46"/>
        <v>1</v>
      </c>
      <c r="AS68" s="141">
        <f t="shared" si="62"/>
        <v>5.241816747353787E-2</v>
      </c>
      <c r="AT68" s="139">
        <f t="shared" si="12"/>
        <v>62.813902527570278</v>
      </c>
      <c r="AU68" s="137">
        <f t="shared" si="67"/>
        <v>2.7</v>
      </c>
      <c r="AV68" s="138">
        <f t="shared" si="47"/>
        <v>1</v>
      </c>
      <c r="AW68" s="141">
        <f t="shared" si="63"/>
        <v>0.15231168441254039</v>
      </c>
      <c r="AX68" s="139">
        <f t="shared" si="13"/>
        <v>275.9116383224063</v>
      </c>
      <c r="AY68" s="137">
        <f t="shared" si="68"/>
        <v>2.9670000000000014</v>
      </c>
      <c r="AZ68" s="138">
        <f t="shared" si="48"/>
        <v>1</v>
      </c>
      <c r="BA68" s="141">
        <f t="shared" si="64"/>
        <v>0.18477065273336568</v>
      </c>
      <c r="BB68" s="139">
        <f t="shared" si="14"/>
        <v>404.18236087365239</v>
      </c>
      <c r="BC68" s="137">
        <f t="shared" si="15"/>
        <v>2.1959999999999997</v>
      </c>
      <c r="BD68" s="138">
        <f t="shared" si="22"/>
        <v>3.4945444982358582E-2</v>
      </c>
      <c r="BE68" s="138">
        <f t="shared" si="4"/>
        <v>2.7</v>
      </c>
      <c r="BF68" s="138">
        <f t="shared" si="17"/>
        <v>0.05</v>
      </c>
      <c r="BG68" s="137">
        <f t="shared" si="69"/>
        <v>1.2500000000000002</v>
      </c>
      <c r="BH68" s="141">
        <f t="shared" si="70"/>
        <v>7.0479746795290878E-3</v>
      </c>
      <c r="BI68" s="137">
        <f t="shared" si="71"/>
        <v>1.2500000000000002</v>
      </c>
      <c r="BJ68" s="141">
        <f t="shared" si="70"/>
        <v>3.9041999999999993E-2</v>
      </c>
    </row>
    <row r="69" spans="25:62" ht="16.5" customHeight="1">
      <c r="AL69" s="111"/>
      <c r="AM69" s="137">
        <f t="shared" si="65"/>
        <v>2.0173999999999999</v>
      </c>
      <c r="AN69" s="138">
        <f t="shared" si="45"/>
        <v>1</v>
      </c>
      <c r="AO69" s="141">
        <f t="shared" si="61"/>
        <v>4.3781956066512688E-2</v>
      </c>
      <c r="AP69" s="139">
        <f t="shared" si="11"/>
        <v>44.278047770884356</v>
      </c>
      <c r="AQ69" s="137">
        <f t="shared" si="66"/>
        <v>2.2495999999999996</v>
      </c>
      <c r="AR69" s="138">
        <f t="shared" si="46"/>
        <v>1</v>
      </c>
      <c r="AS69" s="141">
        <f t="shared" si="62"/>
        <v>4.9950046737222351E-2</v>
      </c>
      <c r="AT69" s="139">
        <f t="shared" si="12"/>
        <v>62.813902527570278</v>
      </c>
      <c r="AU69" s="137">
        <f t="shared" si="67"/>
        <v>2.72</v>
      </c>
      <c r="AV69" s="138">
        <f t="shared" si="47"/>
        <v>1</v>
      </c>
      <c r="AW69" s="141">
        <f t="shared" si="63"/>
        <v>0.15008004154512047</v>
      </c>
      <c r="AX69" s="139">
        <f t="shared" si="13"/>
        <v>275.9116383224063</v>
      </c>
      <c r="AY69" s="137">
        <f t="shared" si="68"/>
        <v>2.9692000000000016</v>
      </c>
      <c r="AZ69" s="138">
        <f t="shared" si="48"/>
        <v>1</v>
      </c>
      <c r="BA69" s="141">
        <f t="shared" si="64"/>
        <v>0.18449694611772235</v>
      </c>
      <c r="BB69" s="139">
        <f t="shared" si="14"/>
        <v>404.18236087365239</v>
      </c>
      <c r="BC69" s="137">
        <f t="shared" si="15"/>
        <v>2.2495999999999996</v>
      </c>
      <c r="BD69" s="138">
        <f t="shared" si="22"/>
        <v>3.3300031158148231E-2</v>
      </c>
      <c r="BE69" s="138">
        <f t="shared" si="4"/>
        <v>2.72</v>
      </c>
      <c r="BF69" s="138">
        <f t="shared" si="17"/>
        <v>0.05</v>
      </c>
      <c r="BG69" s="137">
        <f t="shared" si="69"/>
        <v>1.3000000000000003</v>
      </c>
      <c r="BH69" s="141">
        <f t="shared" si="70"/>
        <v>6.5162487791504131E-3</v>
      </c>
      <c r="BI69" s="137">
        <f t="shared" si="71"/>
        <v>1.3000000000000003</v>
      </c>
      <c r="BJ69" s="141">
        <f t="shared" si="70"/>
        <v>3.6096523668639045E-2</v>
      </c>
    </row>
    <row r="70" spans="25:62" ht="16.5" customHeight="1">
      <c r="AL70" s="111"/>
      <c r="AM70" s="137">
        <f t="shared" si="65"/>
        <v>2.0463</v>
      </c>
      <c r="AN70" s="138">
        <f t="shared" si="45"/>
        <v>1</v>
      </c>
      <c r="AO70" s="141">
        <f t="shared" si="61"/>
        <v>4.25540192124279E-2</v>
      </c>
      <c r="AP70" s="139">
        <f t="shared" si="11"/>
        <v>44.278047770884356</v>
      </c>
      <c r="AQ70" s="137">
        <f t="shared" si="66"/>
        <v>2.3031999999999995</v>
      </c>
      <c r="AR70" s="138">
        <f t="shared" si="46"/>
        <v>1</v>
      </c>
      <c r="AS70" s="141">
        <f t="shared" si="62"/>
        <v>4.7652226989598742E-2</v>
      </c>
      <c r="AT70" s="139">
        <f t="shared" si="12"/>
        <v>62.813902527570278</v>
      </c>
      <c r="AU70" s="137">
        <f t="shared" si="67"/>
        <v>2.74</v>
      </c>
      <c r="AV70" s="138">
        <f t="shared" si="47"/>
        <v>1</v>
      </c>
      <c r="AW70" s="141">
        <f t="shared" si="63"/>
        <v>0.14789708819961364</v>
      </c>
      <c r="AX70" s="139">
        <f t="shared" si="13"/>
        <v>275.9116383224063</v>
      </c>
      <c r="AY70" s="137">
        <f t="shared" si="68"/>
        <v>2.9714000000000018</v>
      </c>
      <c r="AZ70" s="138">
        <f t="shared" si="48"/>
        <v>1</v>
      </c>
      <c r="BA70" s="141">
        <f t="shared" si="64"/>
        <v>0.18422384722733826</v>
      </c>
      <c r="BB70" s="139">
        <f t="shared" si="14"/>
        <v>404.18236087365239</v>
      </c>
      <c r="BC70" s="137">
        <f t="shared" si="15"/>
        <v>2.3031999999999995</v>
      </c>
      <c r="BD70" s="138">
        <f t="shared" si="22"/>
        <v>3.1768151326399159E-2</v>
      </c>
      <c r="BE70" s="138">
        <f t="shared" si="4"/>
        <v>2.74</v>
      </c>
      <c r="BF70" s="138">
        <f t="shared" si="17"/>
        <v>0.05</v>
      </c>
      <c r="BG70" s="137">
        <f t="shared" si="69"/>
        <v>1.3500000000000003</v>
      </c>
      <c r="BH70" s="141">
        <f t="shared" si="70"/>
        <v>6.042502297264306E-3</v>
      </c>
      <c r="BI70" s="137">
        <f t="shared" si="71"/>
        <v>1.3500000000000003</v>
      </c>
      <c r="BJ70" s="141">
        <f t="shared" si="70"/>
        <v>3.3472222222222209E-2</v>
      </c>
    </row>
    <row r="71" spans="25:62" ht="16.5" customHeight="1">
      <c r="AL71" s="111"/>
      <c r="AM71" s="137">
        <f t="shared" si="65"/>
        <v>2.0752000000000002</v>
      </c>
      <c r="AN71" s="138">
        <f t="shared" si="45"/>
        <v>1</v>
      </c>
      <c r="AO71" s="141">
        <f t="shared" si="61"/>
        <v>4.1377026389041026E-2</v>
      </c>
      <c r="AP71" s="139">
        <f t="shared" si="11"/>
        <v>44.278047770884363</v>
      </c>
      <c r="AQ71" s="137">
        <f t="shared" si="66"/>
        <v>2.3567999999999993</v>
      </c>
      <c r="AR71" s="138">
        <f t="shared" si="46"/>
        <v>1</v>
      </c>
      <c r="AS71" s="141">
        <f t="shared" si="62"/>
        <v>4.5509393381304164E-2</v>
      </c>
      <c r="AT71" s="139">
        <f t="shared" si="12"/>
        <v>62.813902527570278</v>
      </c>
      <c r="AU71" s="137">
        <f t="shared" si="67"/>
        <v>2.7600000000000002</v>
      </c>
      <c r="AV71" s="138">
        <f t="shared" si="47"/>
        <v>1</v>
      </c>
      <c r="AW71" s="141">
        <f t="shared" si="63"/>
        <v>0.14576141821143396</v>
      </c>
      <c r="AX71" s="139">
        <f t="shared" si="13"/>
        <v>275.9116383224063</v>
      </c>
      <c r="AY71" s="137">
        <f t="shared" si="68"/>
        <v>2.973600000000002</v>
      </c>
      <c r="AZ71" s="138">
        <f t="shared" si="48"/>
        <v>1</v>
      </c>
      <c r="BA71" s="141">
        <f t="shared" si="64"/>
        <v>0.18395135426439138</v>
      </c>
      <c r="BB71" s="139">
        <f t="shared" si="14"/>
        <v>404.18236087365239</v>
      </c>
      <c r="BC71" s="137">
        <f t="shared" si="15"/>
        <v>2.3567999999999993</v>
      </c>
      <c r="BD71" s="138">
        <f t="shared" si="22"/>
        <v>3.033959558753611E-2</v>
      </c>
      <c r="BE71" s="138">
        <f t="shared" si="4"/>
        <v>2.7600000000000002</v>
      </c>
      <c r="BF71" s="138">
        <f t="shared" si="17"/>
        <v>0.05</v>
      </c>
      <c r="BG71" s="137">
        <f t="shared" si="69"/>
        <v>1.4000000000000004</v>
      </c>
      <c r="BH71" s="141">
        <f t="shared" si="70"/>
        <v>5.6186022636552022E-3</v>
      </c>
      <c r="BI71" s="137">
        <f t="shared" si="71"/>
        <v>1.4000000000000004</v>
      </c>
      <c r="BJ71" s="141">
        <f t="shared" si="70"/>
        <v>3.1124043367346924E-2</v>
      </c>
    </row>
    <row r="72" spans="25:62" ht="16.5" customHeight="1">
      <c r="Y72" s="114"/>
      <c r="AL72" s="111"/>
      <c r="AM72" s="137">
        <f t="shared" si="65"/>
        <v>2.1041000000000003</v>
      </c>
      <c r="AN72" s="138">
        <f t="shared" si="45"/>
        <v>1</v>
      </c>
      <c r="AO72" s="141">
        <f t="shared" si="61"/>
        <v>4.0248198025191854E-2</v>
      </c>
      <c r="AP72" s="139">
        <f t="shared" si="11"/>
        <v>44.278047770884356</v>
      </c>
      <c r="AQ72" s="137">
        <f t="shared" si="66"/>
        <v>2.4103999999999992</v>
      </c>
      <c r="AR72" s="138">
        <f t="shared" si="46"/>
        <v>1</v>
      </c>
      <c r="AS72" s="141">
        <f t="shared" si="62"/>
        <v>4.3507914687124109E-2</v>
      </c>
      <c r="AT72" s="139">
        <f t="shared" si="12"/>
        <v>62.813902527570278</v>
      </c>
      <c r="AU72" s="137">
        <f t="shared" si="67"/>
        <v>2.7800000000000002</v>
      </c>
      <c r="AV72" s="138">
        <f t="shared" si="47"/>
        <v>1</v>
      </c>
      <c r="AW72" s="141">
        <f t="shared" si="63"/>
        <v>0.14367167581484128</v>
      </c>
      <c r="AX72" s="139">
        <f t="shared" si="13"/>
        <v>275.9116383224063</v>
      </c>
      <c r="AY72" s="137">
        <f t="shared" si="68"/>
        <v>2.9758000000000022</v>
      </c>
      <c r="AZ72" s="138">
        <f t="shared" si="48"/>
        <v>1</v>
      </c>
      <c r="BA72" s="141">
        <f t="shared" si="64"/>
        <v>0.18367946543770289</v>
      </c>
      <c r="BB72" s="139">
        <f t="shared" si="14"/>
        <v>404.18236087365239</v>
      </c>
      <c r="BC72" s="137">
        <f t="shared" si="15"/>
        <v>2.4103999999999992</v>
      </c>
      <c r="BD72" s="138">
        <f t="shared" si="22"/>
        <v>2.9005276458082738E-2</v>
      </c>
      <c r="BE72" s="138">
        <f t="shared" si="4"/>
        <v>2.7800000000000002</v>
      </c>
      <c r="BF72" s="138">
        <f t="shared" si="17"/>
        <v>0.05</v>
      </c>
      <c r="BG72" s="137">
        <f t="shared" si="69"/>
        <v>1.4500000000000004</v>
      </c>
      <c r="BH72" s="141">
        <f t="shared" si="70"/>
        <v>5.2377933111839216E-3</v>
      </c>
      <c r="BI72" s="137">
        <f t="shared" si="71"/>
        <v>1.4500000000000004</v>
      </c>
      <c r="BJ72" s="141">
        <f t="shared" si="70"/>
        <v>2.9014565992865619E-2</v>
      </c>
    </row>
    <row r="73" spans="25:62" ht="16.5" customHeight="1">
      <c r="AL73" s="111"/>
      <c r="AM73" s="137">
        <f t="shared" si="65"/>
        <v>2.1330000000000005</v>
      </c>
      <c r="AN73" s="138">
        <f t="shared" si="45"/>
        <v>1</v>
      </c>
      <c r="AO73" s="141">
        <f t="shared" si="61"/>
        <v>3.9164941567060664E-2</v>
      </c>
      <c r="AP73" s="139">
        <f t="shared" si="11"/>
        <v>44.278047770884356</v>
      </c>
      <c r="AQ73" s="137">
        <f t="shared" si="66"/>
        <v>2.4639999999999991</v>
      </c>
      <c r="AR73" s="138">
        <f t="shared" si="46"/>
        <v>1</v>
      </c>
      <c r="AS73" s="141">
        <f t="shared" si="62"/>
        <v>4.1635625987444642E-2</v>
      </c>
      <c r="AT73" s="139">
        <f t="shared" si="12"/>
        <v>62.813902527570278</v>
      </c>
      <c r="AU73" s="137">
        <f t="shared" si="67"/>
        <v>2.8000000000000003</v>
      </c>
      <c r="AV73" s="138">
        <f t="shared" si="47"/>
        <v>1</v>
      </c>
      <c r="AW73" s="141">
        <f t="shared" si="63"/>
        <v>0.14162655349074227</v>
      </c>
      <c r="AX73" s="139">
        <f t="shared" si="13"/>
        <v>275.9116383224063</v>
      </c>
      <c r="AY73" s="137">
        <f t="shared" si="68"/>
        <v>2.9780000000000024</v>
      </c>
      <c r="AZ73" s="138">
        <f t="shared" si="48"/>
        <v>1</v>
      </c>
      <c r="BA73" s="141">
        <f t="shared" si="64"/>
        <v>0.18340817896270775</v>
      </c>
      <c r="BB73" s="139">
        <f t="shared" si="14"/>
        <v>404.18236087365233</v>
      </c>
      <c r="BC73" s="137">
        <f t="shared" si="15"/>
        <v>2.4639999999999991</v>
      </c>
      <c r="BD73" s="138">
        <f t="shared" si="22"/>
        <v>2.7757083991629763E-2</v>
      </c>
      <c r="BE73" s="138">
        <f t="shared" si="4"/>
        <v>2.8000000000000003</v>
      </c>
      <c r="BF73" s="138">
        <f t="shared" si="17"/>
        <v>0.05</v>
      </c>
      <c r="BG73" s="137">
        <f t="shared" si="69"/>
        <v>1.5000000000000004</v>
      </c>
      <c r="BH73" s="141">
        <f t="shared" si="70"/>
        <v>4.8944268607840876E-3</v>
      </c>
      <c r="BI73" s="137">
        <f t="shared" si="71"/>
        <v>1.5000000000000004</v>
      </c>
      <c r="BJ73" s="141">
        <f t="shared" si="70"/>
        <v>2.7112499999999987E-2</v>
      </c>
    </row>
    <row r="74" spans="25:62" ht="16.5" customHeight="1">
      <c r="AL74" s="111"/>
      <c r="AM74" s="137">
        <f t="shared" si="65"/>
        <v>2.1619000000000006</v>
      </c>
      <c r="AN74" s="138">
        <f t="shared" si="45"/>
        <v>1</v>
      </c>
      <c r="AO74" s="141">
        <f t="shared" si="61"/>
        <v>3.8124836579217329E-2</v>
      </c>
      <c r="AP74" s="139">
        <f t="shared" si="11"/>
        <v>44.278047770884363</v>
      </c>
      <c r="AQ74" s="137">
        <f t="shared" si="66"/>
        <v>2.5175999999999989</v>
      </c>
      <c r="AR74" s="138">
        <f t="shared" si="46"/>
        <v>1</v>
      </c>
      <c r="AS74" s="141">
        <f t="shared" si="62"/>
        <v>3.9881643385486533E-2</v>
      </c>
      <c r="AT74" s="139">
        <f t="shared" si="12"/>
        <v>62.813902527570278</v>
      </c>
      <c r="AU74" s="137">
        <f t="shared" si="67"/>
        <v>2.8200000000000003</v>
      </c>
      <c r="AV74" s="138">
        <f t="shared" si="47"/>
        <v>1</v>
      </c>
      <c r="AW74" s="141">
        <f t="shared" si="63"/>
        <v>0.13962478992095712</v>
      </c>
      <c r="AX74" s="139">
        <f t="shared" si="13"/>
        <v>275.9116383224063</v>
      </c>
      <c r="AY74" s="137">
        <f t="shared" si="68"/>
        <v>2.9802000000000026</v>
      </c>
      <c r="AZ74" s="138">
        <f t="shared" si="48"/>
        <v>1</v>
      </c>
      <c r="BA74" s="141">
        <f t="shared" si="64"/>
        <v>0.18313749306142532</v>
      </c>
      <c r="BB74" s="139">
        <f t="shared" si="14"/>
        <v>404.18236087365244</v>
      </c>
      <c r="BC74" s="137">
        <f t="shared" si="15"/>
        <v>2.5175999999999989</v>
      </c>
      <c r="BD74" s="138">
        <f t="shared" si="22"/>
        <v>2.6587762256991023E-2</v>
      </c>
      <c r="BE74" s="138">
        <f t="shared" si="4"/>
        <v>2.8200000000000003</v>
      </c>
      <c r="BF74" s="138">
        <f t="shared" si="17"/>
        <v>0.05</v>
      </c>
      <c r="BG74" s="137">
        <f t="shared" si="69"/>
        <v>1.5500000000000005</v>
      </c>
      <c r="BH74" s="141">
        <f t="shared" si="70"/>
        <v>4.5837504419413925E-3</v>
      </c>
      <c r="BI74" s="137">
        <f t="shared" si="71"/>
        <v>1.5500000000000005</v>
      </c>
      <c r="BJ74" s="141">
        <f t="shared" si="70"/>
        <v>2.5391519250780422E-2</v>
      </c>
    </row>
    <row r="75" spans="25:62" ht="16.5" customHeight="1">
      <c r="AL75" s="111"/>
      <c r="AM75" s="137">
        <f t="shared" si="65"/>
        <v>2.1908000000000007</v>
      </c>
      <c r="AN75" s="138">
        <f t="shared" si="45"/>
        <v>1</v>
      </c>
      <c r="AO75" s="141">
        <f t="shared" si="61"/>
        <v>3.7125621212271059E-2</v>
      </c>
      <c r="AP75" s="139">
        <f t="shared" si="11"/>
        <v>44.278047770884363</v>
      </c>
      <c r="AQ75" s="137">
        <f t="shared" si="66"/>
        <v>2.5711999999999988</v>
      </c>
      <c r="AR75" s="138">
        <f t="shared" si="46"/>
        <v>1</v>
      </c>
      <c r="AS75" s="141">
        <f t="shared" si="62"/>
        <v>3.8236205474657475E-2</v>
      </c>
      <c r="AT75" s="139">
        <f t="shared" si="12"/>
        <v>62.813902527570278</v>
      </c>
      <c r="AU75" s="137">
        <f t="shared" si="67"/>
        <v>2.8400000000000003</v>
      </c>
      <c r="AV75" s="138">
        <f t="shared" si="47"/>
        <v>1</v>
      </c>
      <c r="AW75" s="141">
        <f t="shared" si="63"/>
        <v>0.13766516804297502</v>
      </c>
      <c r="AX75" s="139">
        <f t="shared" si="13"/>
        <v>275.9116383224063</v>
      </c>
      <c r="AY75" s="137">
        <f t="shared" si="68"/>
        <v>2.9824000000000028</v>
      </c>
      <c r="AZ75" s="138">
        <f t="shared" si="48"/>
        <v>1</v>
      </c>
      <c r="BA75" s="141">
        <f t="shared" si="64"/>
        <v>0.18286740596243017</v>
      </c>
      <c r="BB75" s="139">
        <f t="shared" si="14"/>
        <v>404.18236087365239</v>
      </c>
      <c r="BC75" s="137">
        <f t="shared" si="15"/>
        <v>2.5711999999999988</v>
      </c>
      <c r="BD75" s="138">
        <f t="shared" si="22"/>
        <v>2.5490803649771649E-2</v>
      </c>
      <c r="BE75" s="138">
        <f t="shared" si="4"/>
        <v>2.8400000000000003</v>
      </c>
      <c r="BF75" s="138">
        <f t="shared" si="17"/>
        <v>0.05</v>
      </c>
      <c r="BG75" s="137">
        <f t="shared" si="69"/>
        <v>1.6000000000000005</v>
      </c>
      <c r="BH75" s="141">
        <f t="shared" si="70"/>
        <v>4.3017423581110138E-3</v>
      </c>
      <c r="BI75" s="137">
        <f t="shared" si="71"/>
        <v>1.6000000000000005</v>
      </c>
      <c r="BJ75" s="141">
        <f t="shared" si="70"/>
        <v>2.3829345703124984E-2</v>
      </c>
    </row>
    <row r="76" spans="25:62" ht="16.5" customHeight="1">
      <c r="AL76" s="111"/>
      <c r="AM76" s="137">
        <f t="shared" si="65"/>
        <v>2.2197000000000009</v>
      </c>
      <c r="AN76" s="138">
        <f t="shared" si="45"/>
        <v>1</v>
      </c>
      <c r="AO76" s="141">
        <f t="shared" si="61"/>
        <v>3.6165179895717367E-2</v>
      </c>
      <c r="AP76" s="139">
        <f t="shared" si="11"/>
        <v>44.278047770884356</v>
      </c>
      <c r="AQ76" s="137">
        <f t="shared" si="66"/>
        <v>2.6247999999999987</v>
      </c>
      <c r="AR76" s="138">
        <f t="shared" si="46"/>
        <v>1</v>
      </c>
      <c r="AS76" s="141">
        <f t="shared" si="62"/>
        <v>3.6690537231606778E-2</v>
      </c>
      <c r="AT76" s="139">
        <f t="shared" si="12"/>
        <v>62.813902527570278</v>
      </c>
      <c r="AU76" s="137">
        <f t="shared" si="67"/>
        <v>2.8600000000000003</v>
      </c>
      <c r="AV76" s="138">
        <f t="shared" si="47"/>
        <v>1</v>
      </c>
      <c r="AW76" s="141">
        <f t="shared" si="63"/>
        <v>0.13574651319959646</v>
      </c>
      <c r="AX76" s="139">
        <f t="shared" si="13"/>
        <v>275.9116383224063</v>
      </c>
      <c r="AY76" s="137">
        <f t="shared" si="68"/>
        <v>2.984600000000003</v>
      </c>
      <c r="AZ76" s="138">
        <f t="shared" si="48"/>
        <v>1</v>
      </c>
      <c r="BA76" s="141">
        <f t="shared" si="64"/>
        <v>0.18259791590082344</v>
      </c>
      <c r="BB76" s="139">
        <f t="shared" si="14"/>
        <v>404.18236087365244</v>
      </c>
      <c r="BC76" s="137">
        <f t="shared" si="15"/>
        <v>2.6247999999999987</v>
      </c>
      <c r="BD76" s="138">
        <f t="shared" si="22"/>
        <v>2.4460358154404518E-2</v>
      </c>
      <c r="BE76" s="138">
        <f t="shared" si="4"/>
        <v>2.8600000000000003</v>
      </c>
      <c r="BF76" s="138">
        <f t="shared" si="17"/>
        <v>0.05</v>
      </c>
      <c r="BG76" s="137">
        <f t="shared" si="69"/>
        <v>1.6500000000000006</v>
      </c>
      <c r="BH76" s="141">
        <f t="shared" si="70"/>
        <v>4.0449808766810638E-3</v>
      </c>
      <c r="BI76" s="137">
        <f t="shared" si="71"/>
        <v>1.6500000000000006</v>
      </c>
      <c r="BJ76" s="141">
        <f t="shared" si="70"/>
        <v>2.2407024793388415E-2</v>
      </c>
    </row>
    <row r="77" spans="25:62" ht="16.5" customHeight="1">
      <c r="AL77" s="111"/>
      <c r="AM77" s="137">
        <f t="shared" si="65"/>
        <v>2.248600000000001</v>
      </c>
      <c r="AN77" s="138">
        <f t="shared" si="45"/>
        <v>1</v>
      </c>
      <c r="AO77" s="141">
        <f t="shared" si="61"/>
        <v>3.5241532130828604E-2</v>
      </c>
      <c r="AP77" s="139">
        <f t="shared" si="11"/>
        <v>44.278047770884356</v>
      </c>
      <c r="AQ77" s="137">
        <f t="shared" si="66"/>
        <v>2.6783999999999986</v>
      </c>
      <c r="AR77" s="138">
        <f t="shared" si="46"/>
        <v>1</v>
      </c>
      <c r="AS77" s="141">
        <f t="shared" si="62"/>
        <v>3.5236732781433286E-2</v>
      </c>
      <c r="AT77" s="139">
        <f t="shared" si="12"/>
        <v>62.813902527570264</v>
      </c>
      <c r="AU77" s="137">
        <f t="shared" si="67"/>
        <v>2.8800000000000003</v>
      </c>
      <c r="AV77" s="138">
        <f t="shared" si="47"/>
        <v>1</v>
      </c>
      <c r="AW77" s="141">
        <f t="shared" si="63"/>
        <v>0.13386769137820934</v>
      </c>
      <c r="AX77" s="139">
        <f t="shared" si="13"/>
        <v>275.91163832240636</v>
      </c>
      <c r="AY77" s="137">
        <f t="shared" si="68"/>
        <v>2.9868000000000032</v>
      </c>
      <c r="AZ77" s="138">
        <f t="shared" si="48"/>
        <v>1</v>
      </c>
      <c r="BA77" s="141">
        <f t="shared" si="64"/>
        <v>0.18232902111820351</v>
      </c>
      <c r="BB77" s="139">
        <f t="shared" si="14"/>
        <v>404.18236087365239</v>
      </c>
      <c r="BC77" s="137">
        <f t="shared" si="15"/>
        <v>2.6783999999999986</v>
      </c>
      <c r="BD77" s="138">
        <f t="shared" si="22"/>
        <v>2.3491155187622192E-2</v>
      </c>
      <c r="BE77" s="138">
        <f t="shared" si="4"/>
        <v>2.8800000000000003</v>
      </c>
      <c r="BF77" s="138">
        <f t="shared" si="17"/>
        <v>0.05</v>
      </c>
      <c r="BG77" s="137">
        <f t="shared" si="69"/>
        <v>1.7000000000000006</v>
      </c>
      <c r="BH77" s="141">
        <f t="shared" si="70"/>
        <v>3.8105399435170227E-3</v>
      </c>
      <c r="BI77" s="137">
        <f t="shared" si="71"/>
        <v>1.7000000000000006</v>
      </c>
      <c r="BJ77" s="141">
        <f t="shared" si="70"/>
        <v>2.110834775086504E-2</v>
      </c>
    </row>
    <row r="78" spans="25:62" ht="16.5" customHeight="1">
      <c r="AL78" s="111"/>
      <c r="AM78" s="137">
        <f t="shared" si="65"/>
        <v>2.2775000000000012</v>
      </c>
      <c r="AN78" s="138">
        <f t="shared" si="45"/>
        <v>1</v>
      </c>
      <c r="AO78" s="141">
        <f t="shared" si="61"/>
        <v>3.4352822272635301E-2</v>
      </c>
      <c r="AP78" s="139">
        <f t="shared" si="11"/>
        <v>44.278047770884356</v>
      </c>
      <c r="AQ78" s="137">
        <f t="shared" si="66"/>
        <v>2.7319999999999984</v>
      </c>
      <c r="AR78" s="138">
        <f t="shared" si="46"/>
        <v>1</v>
      </c>
      <c r="AS78" s="141">
        <f t="shared" si="62"/>
        <v>3.3867654102651509E-2</v>
      </c>
      <c r="AT78" s="139">
        <f t="shared" si="12"/>
        <v>62.813902527570278</v>
      </c>
      <c r="AU78" s="137">
        <f t="shared" si="67"/>
        <v>2.9000000000000004</v>
      </c>
      <c r="AV78" s="138">
        <f t="shared" si="47"/>
        <v>1</v>
      </c>
      <c r="AW78" s="141">
        <f t="shared" si="63"/>
        <v>0.13202760753477044</v>
      </c>
      <c r="AX78" s="139">
        <f t="shared" si="13"/>
        <v>275.9116383224063</v>
      </c>
      <c r="AY78" s="137">
        <f t="shared" si="68"/>
        <v>2.9890000000000034</v>
      </c>
      <c r="AZ78" s="138">
        <f t="shared" si="48"/>
        <v>1</v>
      </c>
      <c r="BA78" s="141">
        <f t="shared" si="64"/>
        <v>0.18206071986263778</v>
      </c>
      <c r="BB78" s="139">
        <f t="shared" si="14"/>
        <v>404.18236087365239</v>
      </c>
      <c r="BC78" s="137">
        <f t="shared" si="15"/>
        <v>2.7319999999999984</v>
      </c>
      <c r="BD78" s="138">
        <f t="shared" si="22"/>
        <v>2.2578436068434338E-2</v>
      </c>
      <c r="BE78" s="138">
        <f t="shared" si="4"/>
        <v>2.9000000000000004</v>
      </c>
      <c r="BF78" s="138">
        <f t="shared" si="17"/>
        <v>0.05</v>
      </c>
      <c r="BG78" s="137">
        <f t="shared" si="69"/>
        <v>1.7500000000000007</v>
      </c>
      <c r="BH78" s="141">
        <f t="shared" si="70"/>
        <v>3.5959054487393291E-3</v>
      </c>
      <c r="BI78" s="137">
        <f t="shared" si="71"/>
        <v>1.7500000000000007</v>
      </c>
      <c r="BJ78" s="141">
        <f t="shared" si="70"/>
        <v>1.991938775510203E-2</v>
      </c>
    </row>
    <row r="79" spans="25:62" ht="16.5" customHeight="1">
      <c r="AL79" s="111"/>
      <c r="AM79" s="137">
        <f t="shared" si="65"/>
        <v>2.3064000000000013</v>
      </c>
      <c r="AN79" s="138">
        <f t="shared" si="45"/>
        <v>1</v>
      </c>
      <c r="AO79" s="141">
        <f t="shared" si="61"/>
        <v>3.3497310202478578E-2</v>
      </c>
      <c r="AP79" s="139">
        <f t="shared" si="11"/>
        <v>44.27804777088437</v>
      </c>
      <c r="AQ79" s="137">
        <f t="shared" si="66"/>
        <v>2.7855999999999983</v>
      </c>
      <c r="AR79" s="138">
        <f t="shared" si="46"/>
        <v>1</v>
      </c>
      <c r="AS79" s="141">
        <f t="shared" si="62"/>
        <v>3.2576843242336236E-2</v>
      </c>
      <c r="AT79" s="139">
        <f t="shared" si="12"/>
        <v>62.813902527570264</v>
      </c>
      <c r="AU79" s="137">
        <f t="shared" si="67"/>
        <v>2.9200000000000004</v>
      </c>
      <c r="AV79" s="138">
        <f t="shared" si="47"/>
        <v>1</v>
      </c>
      <c r="AW79" s="141">
        <f t="shared" si="63"/>
        <v>0.13022520399786772</v>
      </c>
      <c r="AX79" s="139">
        <f t="shared" si="13"/>
        <v>275.9116383224063</v>
      </c>
      <c r="AY79" s="137">
        <f t="shared" si="68"/>
        <v>2.9912000000000036</v>
      </c>
      <c r="AZ79" s="138">
        <f t="shared" si="48"/>
        <v>1</v>
      </c>
      <c r="BA79" s="141">
        <f t="shared" si="64"/>
        <v>0.18179301038863382</v>
      </c>
      <c r="BB79" s="139">
        <f t="shared" si="14"/>
        <v>404.18236087365239</v>
      </c>
      <c r="BC79" s="137">
        <f t="shared" si="15"/>
        <v>2.7855999999999983</v>
      </c>
      <c r="BD79" s="138">
        <f t="shared" si="22"/>
        <v>2.1717895494890824E-2</v>
      </c>
      <c r="BE79" s="138">
        <f t="shared" ref="BE79:BE140" si="72">IF($B$29="",-1,AU79)</f>
        <v>2.9200000000000004</v>
      </c>
      <c r="BF79" s="138">
        <f t="shared" si="17"/>
        <v>0.05</v>
      </c>
      <c r="BG79" s="137">
        <f t="shared" si="69"/>
        <v>1.8000000000000007</v>
      </c>
      <c r="BH79" s="141">
        <f t="shared" si="70"/>
        <v>3.398907542211171E-3</v>
      </c>
      <c r="BI79" s="137">
        <f t="shared" si="71"/>
        <v>1.8000000000000007</v>
      </c>
      <c r="BJ79" s="141">
        <f t="shared" si="70"/>
        <v>1.8828124999999987E-2</v>
      </c>
    </row>
    <row r="80" spans="25:62" ht="16.5" customHeight="1">
      <c r="AL80" s="111"/>
      <c r="AM80" s="137">
        <f t="shared" si="65"/>
        <v>2.3353000000000015</v>
      </c>
      <c r="AN80" s="138">
        <f t="shared" si="45"/>
        <v>1</v>
      </c>
      <c r="AO80" s="141">
        <f t="shared" si="61"/>
        <v>3.2673362803517486E-2</v>
      </c>
      <c r="AP80" s="139">
        <f t="shared" si="11"/>
        <v>44.278047770884363</v>
      </c>
      <c r="AQ80" s="137">
        <f t="shared" si="66"/>
        <v>2.8391999999999982</v>
      </c>
      <c r="AR80" s="138">
        <f t="shared" si="46"/>
        <v>1</v>
      </c>
      <c r="AS80" s="141">
        <f t="shared" si="62"/>
        <v>3.135844602067811E-2</v>
      </c>
      <c r="AT80" s="139">
        <f t="shared" si="12"/>
        <v>62.813902527570278</v>
      </c>
      <c r="AU80" s="137">
        <f t="shared" si="67"/>
        <v>2.9400000000000004</v>
      </c>
      <c r="AV80" s="138">
        <f t="shared" si="47"/>
        <v>1</v>
      </c>
      <c r="AW80" s="141">
        <f t="shared" si="63"/>
        <v>0.12845945894851904</v>
      </c>
      <c r="AX80" s="139">
        <f t="shared" si="13"/>
        <v>275.9116383224063</v>
      </c>
      <c r="AY80" s="137">
        <f t="shared" si="68"/>
        <v>2.9934000000000038</v>
      </c>
      <c r="AZ80" s="138">
        <f t="shared" si="48"/>
        <v>1</v>
      </c>
      <c r="BA80" s="141">
        <f t="shared" si="64"/>
        <v>0.18152589095711116</v>
      </c>
      <c r="BB80" s="139">
        <f t="shared" si="14"/>
        <v>404.18236087365239</v>
      </c>
      <c r="BC80" s="137">
        <f t="shared" si="15"/>
        <v>2.8391999999999982</v>
      </c>
      <c r="BD80" s="138">
        <f t="shared" si="22"/>
        <v>2.0905630680452075E-2</v>
      </c>
      <c r="BE80" s="138">
        <f t="shared" si="72"/>
        <v>2.9400000000000004</v>
      </c>
      <c r="BF80" s="138">
        <f t="shared" si="17"/>
        <v>0.05</v>
      </c>
      <c r="BG80" s="137">
        <f t="shared" si="69"/>
        <v>1.8500000000000008</v>
      </c>
      <c r="BH80" s="141">
        <f t="shared" si="70"/>
        <v>3.2176655768485591E-3</v>
      </c>
      <c r="BI80" s="137">
        <f t="shared" si="71"/>
        <v>1.8500000000000008</v>
      </c>
      <c r="BJ80" s="141">
        <f t="shared" si="70"/>
        <v>1.782414170927683E-2</v>
      </c>
    </row>
    <row r="81" spans="24:62" ht="16.5" customHeight="1">
      <c r="AL81" s="111"/>
      <c r="AM81" s="137">
        <f t="shared" si="65"/>
        <v>2.3642000000000016</v>
      </c>
      <c r="AN81" s="138">
        <f t="shared" si="45"/>
        <v>1</v>
      </c>
      <c r="AO81" s="141">
        <f t="shared" si="61"/>
        <v>3.1879446161155102E-2</v>
      </c>
      <c r="AP81" s="139">
        <f t="shared" ref="AP81:AP130" si="73">AO81*9.81*(AM81)^2*$AL$135</f>
        <v>44.278047770884356</v>
      </c>
      <c r="AQ81" s="137">
        <f t="shared" si="66"/>
        <v>2.892799999999998</v>
      </c>
      <c r="AR81" s="138">
        <f t="shared" si="46"/>
        <v>1</v>
      </c>
      <c r="AS81" s="141">
        <f t="shared" si="62"/>
        <v>3.0207145537967862E-2</v>
      </c>
      <c r="AT81" s="139">
        <f t="shared" ref="AT81:AT130" si="74">AS81*9.81*(AQ81)^2*$AL$135</f>
        <v>62.813902527570285</v>
      </c>
      <c r="AU81" s="137">
        <f t="shared" si="67"/>
        <v>2.9600000000000004</v>
      </c>
      <c r="AV81" s="138">
        <f t="shared" si="47"/>
        <v>1</v>
      </c>
      <c r="AW81" s="141">
        <f t="shared" si="63"/>
        <v>0.12672938497162839</v>
      </c>
      <c r="AX81" s="139">
        <f t="shared" ref="AX81:AX130" si="75">AW81*9.81*(AU81)^2*$AL$135</f>
        <v>275.9116383224063</v>
      </c>
      <c r="AY81" s="137">
        <f t="shared" si="68"/>
        <v>2.995600000000004</v>
      </c>
      <c r="AZ81" s="138">
        <f t="shared" si="48"/>
        <v>1</v>
      </c>
      <c r="BA81" s="141">
        <f t="shared" si="64"/>
        <v>0.18125935983537292</v>
      </c>
      <c r="BB81" s="139">
        <f t="shared" ref="BB81:BB130" si="76">BA81*9.81*(AY81)^2*$AL$135</f>
        <v>404.18236087365244</v>
      </c>
      <c r="BC81" s="137">
        <f t="shared" si="15"/>
        <v>2.892799999999998</v>
      </c>
      <c r="BD81" s="138">
        <f t="shared" si="22"/>
        <v>2.0138097025311909E-2</v>
      </c>
      <c r="BE81" s="138">
        <f t="shared" si="72"/>
        <v>2.9600000000000004</v>
      </c>
      <c r="BF81" s="138">
        <f t="shared" si="17"/>
        <v>0.05</v>
      </c>
      <c r="BG81" s="137">
        <f t="shared" si="69"/>
        <v>1.9000000000000008</v>
      </c>
      <c r="BH81" s="141">
        <f t="shared" si="70"/>
        <v>3.0505430572753999E-3</v>
      </c>
      <c r="BI81" s="137">
        <f t="shared" si="71"/>
        <v>1.9000000000000008</v>
      </c>
      <c r="BJ81" s="141">
        <f t="shared" si="70"/>
        <v>1.6898372576177274E-2</v>
      </c>
    </row>
    <row r="82" spans="24:62" ht="16.5" customHeight="1">
      <c r="AH82" s="111" t="s">
        <v>4</v>
      </c>
      <c r="AI82" s="111" t="s">
        <v>5</v>
      </c>
      <c r="AJ82" s="111" t="s">
        <v>6</v>
      </c>
      <c r="AK82" s="111" t="s">
        <v>7</v>
      </c>
      <c r="AM82" s="137">
        <f t="shared" si="65"/>
        <v>2.3931000000000018</v>
      </c>
      <c r="AN82" s="138">
        <f t="shared" si="45"/>
        <v>1</v>
      </c>
      <c r="AO82" s="141">
        <f t="shared" si="61"/>
        <v>3.1114118418776111E-2</v>
      </c>
      <c r="AP82" s="139">
        <f t="shared" si="73"/>
        <v>44.278047770884363</v>
      </c>
      <c r="AQ82" s="137">
        <f t="shared" si="66"/>
        <v>2.9463999999999979</v>
      </c>
      <c r="AR82" s="138">
        <f t="shared" si="46"/>
        <v>1</v>
      </c>
      <c r="AS82" s="141">
        <f t="shared" si="62"/>
        <v>2.9118104070657964E-2</v>
      </c>
      <c r="AT82" s="139">
        <f t="shared" si="74"/>
        <v>62.813902527570278</v>
      </c>
      <c r="AU82" s="137">
        <f t="shared" si="67"/>
        <v>2.9800000000000004</v>
      </c>
      <c r="AV82" s="138">
        <f t="shared" si="47"/>
        <v>1</v>
      </c>
      <c r="AW82" s="141">
        <f t="shared" si="63"/>
        <v>0.12503402767526453</v>
      </c>
      <c r="AX82" s="139">
        <f t="shared" si="75"/>
        <v>275.9116383224063</v>
      </c>
      <c r="AY82" s="137">
        <f t="shared" si="68"/>
        <v>2.9978000000000042</v>
      </c>
      <c r="AZ82" s="138">
        <f t="shared" si="48"/>
        <v>1</v>
      </c>
      <c r="BA82" s="141">
        <f t="shared" si="64"/>
        <v>0.18099341529707774</v>
      </c>
      <c r="BB82" s="139">
        <f t="shared" si="76"/>
        <v>404.18236087365239</v>
      </c>
      <c r="BC82" s="137">
        <f t="shared" si="15"/>
        <v>2.9463999999999979</v>
      </c>
      <c r="BD82" s="138">
        <f t="shared" si="22"/>
        <v>1.9412069380438643E-2</v>
      </c>
      <c r="BE82" s="138">
        <f t="shared" si="72"/>
        <v>2.9800000000000004</v>
      </c>
      <c r="BF82" s="138">
        <f t="shared" ref="BF82:BF140" si="77">IF($A$26="ordinaria",MAX(AW82/$AB$6/IF($B$29="",1,$B$29),0.2*$C$9),AW82/$B$29)</f>
        <v>0.05</v>
      </c>
      <c r="BG82" s="137">
        <f t="shared" si="69"/>
        <v>1.9500000000000008</v>
      </c>
      <c r="BH82" s="141">
        <f t="shared" si="70"/>
        <v>2.8961105685112935E-3</v>
      </c>
      <c r="BI82" s="137">
        <f t="shared" si="71"/>
        <v>1.9500000000000008</v>
      </c>
      <c r="BJ82" s="141">
        <f t="shared" si="70"/>
        <v>1.604289940828401E-2</v>
      </c>
    </row>
    <row r="83" spans="24:62" ht="16.5" customHeight="1">
      <c r="AH83" s="111" t="str">
        <f>IF($A$26="ordinaria","tra Td-3s",IF(AM83=$AE$7,"0.8 Tiso","tra Td-3s"))</f>
        <v>tra Td-3s</v>
      </c>
      <c r="AI83" s="111" t="str">
        <f>IF($A$26="ordinaria","tra Td-3s",IF(AQ83=$AE$7,"0.8 Tiso","tra Td-3s"))</f>
        <v>tra Td-3s</v>
      </c>
      <c r="AJ83" s="111" t="str">
        <f>IF($A$26="ordinaria","tra Td-3s",IF(AU83=$AE$7,"0.8 Tiso","tra Td-3s"))</f>
        <v>tra Td-3s</v>
      </c>
      <c r="AK83" s="111" t="str">
        <f>IF($A$26="ordinaria","tra Td-3s",IF(AY83=$AE$7,"0.8 Tiso","tra Td-3s"))</f>
        <v>tra Td-3s</v>
      </c>
      <c r="AL83" s="145" t="s">
        <v>170</v>
      </c>
      <c r="AM83" s="137">
        <f>IF(A26="ordinaria",(AM63+AM104)/2,IF($AE$7&lt;AM$63,(AM63+AM104)/2,$AE$7))</f>
        <v>2.4220000000000002</v>
      </c>
      <c r="AN83" s="138">
        <f t="shared" si="45"/>
        <v>1</v>
      </c>
      <c r="AO83" s="141">
        <f t="shared" si="61"/>
        <v>3.0376023226619104E-2</v>
      </c>
      <c r="AP83" s="139">
        <f t="shared" si="73"/>
        <v>44.278047770884356</v>
      </c>
      <c r="AQ83" s="137">
        <f>IF(E26="ordinaria",(AQ63+AQ104)/2,IF($AE$7&lt;AQ$63,(AQ63+AQ104)/2,$AE$7))</f>
        <v>3</v>
      </c>
      <c r="AR83" s="138">
        <f t="shared" si="46"/>
        <v>1</v>
      </c>
      <c r="AS83" s="141">
        <f t="shared" si="62"/>
        <v>2.8086912168340947E-2</v>
      </c>
      <c r="AT83" s="139">
        <f t="shared" si="74"/>
        <v>62.813902527570264</v>
      </c>
      <c r="AU83" s="137">
        <f>IF(H26="ordinaria",(AU63+AU104)/2,IF($AE$7&lt;AU$63,(AU63+AU104)/2,$AE$7))</f>
        <v>3</v>
      </c>
      <c r="AV83" s="138">
        <f t="shared" si="47"/>
        <v>1</v>
      </c>
      <c r="AW83" s="141">
        <f t="shared" si="63"/>
        <v>0.12337246437415773</v>
      </c>
      <c r="AX83" s="139">
        <f t="shared" si="75"/>
        <v>275.9116383224063</v>
      </c>
      <c r="AY83" s="137">
        <f>IF(K26="ordinaria",(AY63+AY104)/2,IF($AE$7&lt;AY$63,(AY63+AY104)/2,$AE$7))</f>
        <v>3</v>
      </c>
      <c r="AZ83" s="138">
        <f t="shared" si="48"/>
        <v>1</v>
      </c>
      <c r="BA83" s="141">
        <f t="shared" si="64"/>
        <v>0.18072805562221256</v>
      </c>
      <c r="BB83" s="139">
        <f t="shared" si="76"/>
        <v>404.18236087365239</v>
      </c>
      <c r="BC83" s="137">
        <f t="shared" si="15"/>
        <v>3</v>
      </c>
      <c r="BD83" s="138">
        <f t="shared" si="22"/>
        <v>1.8724608112227297E-2</v>
      </c>
      <c r="BE83" s="138">
        <f t="shared" si="72"/>
        <v>3</v>
      </c>
      <c r="BF83" s="138">
        <f t="shared" si="77"/>
        <v>0.05</v>
      </c>
      <c r="BG83" s="137">
        <f>(BG63+BG104)/2</f>
        <v>2</v>
      </c>
      <c r="BH83" s="141">
        <f t="shared" si="70"/>
        <v>2.7531151091910507E-3</v>
      </c>
      <c r="BI83" s="137">
        <f>(BI63+BI104)/2</f>
        <v>2</v>
      </c>
      <c r="BJ83" s="141">
        <f t="shared" si="70"/>
        <v>1.5250781250000001E-2</v>
      </c>
    </row>
    <row r="84" spans="24:62" ht="16.5" customHeight="1">
      <c r="AH84" s="111" t="str">
        <f>AH83</f>
        <v>tra Td-3s</v>
      </c>
      <c r="AI84" s="111" t="str">
        <f>AI83</f>
        <v>tra Td-3s</v>
      </c>
      <c r="AJ84" s="111" t="str">
        <f>AJ83</f>
        <v>tra Td-3s</v>
      </c>
      <c r="AK84" s="111" t="str">
        <f t="shared" ref="AK84" si="78">AK83</f>
        <v>tra Td-3s</v>
      </c>
      <c r="AL84" s="145" t="s">
        <v>170</v>
      </c>
      <c r="AM84" s="137">
        <f>AM83</f>
        <v>2.4220000000000002</v>
      </c>
      <c r="AN84" s="138">
        <f t="shared" ref="AN84:AN140" si="79">$AH$86</f>
        <v>1</v>
      </c>
      <c r="AO84" s="141">
        <f t="shared" si="61"/>
        <v>3.0376023226619104E-2</v>
      </c>
      <c r="AP84" s="139">
        <f t="shared" si="73"/>
        <v>44.278047770884356</v>
      </c>
      <c r="AQ84" s="137">
        <f>AQ83</f>
        <v>3</v>
      </c>
      <c r="AR84" s="138">
        <f t="shared" ref="AR84:AR140" si="80">$AI$86</f>
        <v>1</v>
      </c>
      <c r="AS84" s="141">
        <f t="shared" si="62"/>
        <v>2.8086912168340947E-2</v>
      </c>
      <c r="AT84" s="139">
        <f t="shared" si="74"/>
        <v>62.813902527570264</v>
      </c>
      <c r="AU84" s="137">
        <f>AU83</f>
        <v>3</v>
      </c>
      <c r="AV84" s="138">
        <f t="shared" ref="AV84:AV140" si="81">$AJ$86</f>
        <v>1</v>
      </c>
      <c r="AW84" s="141">
        <f t="shared" si="63"/>
        <v>0.12337246437415773</v>
      </c>
      <c r="AX84" s="139">
        <f t="shared" si="75"/>
        <v>275.9116383224063</v>
      </c>
      <c r="AY84" s="137">
        <f>AY83</f>
        <v>3</v>
      </c>
      <c r="AZ84" s="138">
        <f t="shared" ref="AZ84:AZ140" si="82">$AK$86</f>
        <v>1</v>
      </c>
      <c r="BA84" s="141">
        <f t="shared" si="64"/>
        <v>0.18072805562221256</v>
      </c>
      <c r="BB84" s="139">
        <f t="shared" si="76"/>
        <v>404.18236087365239</v>
      </c>
      <c r="BC84" s="137">
        <f t="shared" si="15"/>
        <v>3</v>
      </c>
      <c r="BD84" s="138">
        <f t="shared" si="22"/>
        <v>1.8724608112227297E-2</v>
      </c>
      <c r="BE84" s="138">
        <f t="shared" si="72"/>
        <v>3</v>
      </c>
      <c r="BF84" s="138">
        <f t="shared" si="77"/>
        <v>0.05</v>
      </c>
      <c r="BG84" s="137">
        <f>BG83</f>
        <v>2</v>
      </c>
      <c r="BH84" s="141">
        <f t="shared" si="70"/>
        <v>2.7531151091910507E-3</v>
      </c>
      <c r="BI84" s="137">
        <f>BI83</f>
        <v>2</v>
      </c>
      <c r="BJ84" s="141">
        <f t="shared" si="70"/>
        <v>1.5250781250000001E-2</v>
      </c>
    </row>
    <row r="85" spans="24:62" ht="16.5" customHeight="1">
      <c r="X85" s="134"/>
      <c r="AG85" s="144" t="s">
        <v>169</v>
      </c>
      <c r="AH85" s="110">
        <f>IF(OR(AH43="0.8 Tiso",AH84="0.8 Tiso"),$E$13,$B$13)</f>
        <v>0.05</v>
      </c>
      <c r="AI85" s="110">
        <f t="shared" ref="AI85:AK85" si="83">IF(OR(AI43="0.8 Tiso",AI84="0.8 Tiso"),$E$13,$B$13)</f>
        <v>0.05</v>
      </c>
      <c r="AJ85" s="110">
        <f t="shared" si="83"/>
        <v>0.05</v>
      </c>
      <c r="AK85" s="110">
        <f t="shared" si="83"/>
        <v>0.05</v>
      </c>
      <c r="AM85" s="137">
        <f>AM83+(AM$104-AM$83)/20</f>
        <v>2.4509000000000003</v>
      </c>
      <c r="AN85" s="138">
        <f t="shared" si="79"/>
        <v>1</v>
      </c>
      <c r="AO85" s="141">
        <f t="shared" si="61"/>
        <v>2.9663883728165207E-2</v>
      </c>
      <c r="AP85" s="139">
        <f t="shared" si="73"/>
        <v>44.278047770884363</v>
      </c>
      <c r="AQ85" s="137">
        <f>AQ83+(AQ$104-AQ$83)/20</f>
        <v>3</v>
      </c>
      <c r="AR85" s="138">
        <f t="shared" si="80"/>
        <v>1</v>
      </c>
      <c r="AS85" s="141">
        <f t="shared" si="62"/>
        <v>2.8086912168340947E-2</v>
      </c>
      <c r="AT85" s="139">
        <f t="shared" si="74"/>
        <v>62.813902527570264</v>
      </c>
      <c r="AU85" s="137">
        <f>AU83+(AU$104-AU$83)/20</f>
        <v>3</v>
      </c>
      <c r="AV85" s="138">
        <f t="shared" si="81"/>
        <v>1</v>
      </c>
      <c r="AW85" s="141">
        <f t="shared" si="63"/>
        <v>0.12337246437415773</v>
      </c>
      <c r="AX85" s="139">
        <f t="shared" si="75"/>
        <v>275.9116383224063</v>
      </c>
      <c r="AY85" s="137">
        <f>AY83+(AY$104-AY$83)/20</f>
        <v>3</v>
      </c>
      <c r="AZ85" s="138">
        <f t="shared" si="82"/>
        <v>1</v>
      </c>
      <c r="BA85" s="141">
        <f t="shared" si="64"/>
        <v>0.18072805562221256</v>
      </c>
      <c r="BB85" s="139">
        <f t="shared" si="76"/>
        <v>404.18236087365239</v>
      </c>
      <c r="BC85" s="137">
        <f t="shared" si="15"/>
        <v>3</v>
      </c>
      <c r="BD85" s="138">
        <f t="shared" si="22"/>
        <v>1.8724608112227297E-2</v>
      </c>
      <c r="BE85" s="138">
        <f t="shared" si="72"/>
        <v>3</v>
      </c>
      <c r="BF85" s="138">
        <f t="shared" si="77"/>
        <v>0.05</v>
      </c>
      <c r="BG85" s="137">
        <f>BG84+($BG$104-BG$84)/20</f>
        <v>2.0499999999999998</v>
      </c>
      <c r="BH85" s="141">
        <f t="shared" si="70"/>
        <v>2.6204545953037962E-3</v>
      </c>
      <c r="BI85" s="137">
        <f>BI84+($BG$104-BI$84)/20</f>
        <v>2.0499999999999998</v>
      </c>
      <c r="BJ85" s="141">
        <f t="shared" si="70"/>
        <v>1.451591314693635E-2</v>
      </c>
    </row>
    <row r="86" spans="24:62" ht="16.5" customHeight="1">
      <c r="AG86" s="144" t="s">
        <v>12</v>
      </c>
      <c r="AH86" s="111">
        <f>IF(OR(AH43="0.8 Tiso",AH84="0.8 Tiso"),$AB$7,$AB$6)</f>
        <v>1</v>
      </c>
      <c r="AI86" s="111">
        <f t="shared" ref="AI86:AK86" si="84">IF(OR(AI43="0.8 Tiso",AI84="0.8 Tiso"),$AB$7,$AB$6)</f>
        <v>1</v>
      </c>
      <c r="AJ86" s="111">
        <f t="shared" si="84"/>
        <v>1</v>
      </c>
      <c r="AK86" s="111">
        <f t="shared" si="84"/>
        <v>1</v>
      </c>
      <c r="AM86" s="137">
        <f t="shared" ref="AM86:AM103" si="85">AM85+(AM$104-AM$83)/20</f>
        <v>2.4798000000000004</v>
      </c>
      <c r="AN86" s="138">
        <f t="shared" si="79"/>
        <v>1</v>
      </c>
      <c r="AO86" s="141">
        <f t="shared" si="61"/>
        <v>2.8976497034224884E-2</v>
      </c>
      <c r="AP86" s="139">
        <f t="shared" si="73"/>
        <v>44.278047770884363</v>
      </c>
      <c r="AQ86" s="137">
        <f t="shared" ref="AQ86:AQ103" si="86">AQ85+(AQ$104-AQ$83)/20</f>
        <v>3</v>
      </c>
      <c r="AR86" s="138">
        <f t="shared" si="80"/>
        <v>1</v>
      </c>
      <c r="AS86" s="141">
        <f t="shared" si="62"/>
        <v>2.8086912168340947E-2</v>
      </c>
      <c r="AT86" s="139">
        <f t="shared" si="74"/>
        <v>62.813902527570264</v>
      </c>
      <c r="AU86" s="137">
        <f t="shared" ref="AU86:AU103" si="87">AU85+(AU$104-AU$83)/20</f>
        <v>3</v>
      </c>
      <c r="AV86" s="138">
        <f t="shared" si="81"/>
        <v>1</v>
      </c>
      <c r="AW86" s="141">
        <f t="shared" si="63"/>
        <v>0.12337246437415773</v>
      </c>
      <c r="AX86" s="139">
        <f t="shared" si="75"/>
        <v>275.9116383224063</v>
      </c>
      <c r="AY86" s="137">
        <f t="shared" ref="AY86:AY103" si="88">AY85+(AY$104-AY$83)/20</f>
        <v>3</v>
      </c>
      <c r="AZ86" s="138">
        <f t="shared" si="82"/>
        <v>1</v>
      </c>
      <c r="BA86" s="141">
        <f t="shared" si="64"/>
        <v>0.18072805562221256</v>
      </c>
      <c r="BB86" s="139">
        <f t="shared" si="76"/>
        <v>404.18236087365239</v>
      </c>
      <c r="BC86" s="137">
        <f t="shared" si="15"/>
        <v>3</v>
      </c>
      <c r="BD86" s="138">
        <f t="shared" si="22"/>
        <v>1.8724608112227297E-2</v>
      </c>
      <c r="BE86" s="138">
        <f t="shared" si="72"/>
        <v>3</v>
      </c>
      <c r="BF86" s="138">
        <f t="shared" si="77"/>
        <v>0.05</v>
      </c>
      <c r="BG86" s="137">
        <f t="shared" ref="BG86:BG103" si="89">BG85+($BG$104-BG$84)/20</f>
        <v>2.0999999999999996</v>
      </c>
      <c r="BH86" s="141">
        <f t="shared" si="70"/>
        <v>2.4971565616245367E-3</v>
      </c>
      <c r="BI86" s="137">
        <f t="shared" ref="BI86:BI103" si="90">BI85+($BG$104-BI$84)/20</f>
        <v>2.0999999999999996</v>
      </c>
      <c r="BJ86" s="141">
        <f t="shared" si="70"/>
        <v>1.3832908163265312E-2</v>
      </c>
    </row>
    <row r="87" spans="24:62" ht="16.5" customHeight="1">
      <c r="AL87" s="111"/>
      <c r="AM87" s="137">
        <f t="shared" si="85"/>
        <v>2.5087000000000006</v>
      </c>
      <c r="AN87" s="138">
        <f t="shared" si="79"/>
        <v>1</v>
      </c>
      <c r="AO87" s="141">
        <f t="shared" si="61"/>
        <v>2.8312729140038143E-2</v>
      </c>
      <c r="AP87" s="139">
        <f t="shared" si="73"/>
        <v>44.278047770884356</v>
      </c>
      <c r="AQ87" s="137">
        <f t="shared" si="86"/>
        <v>3</v>
      </c>
      <c r="AR87" s="138">
        <f t="shared" si="80"/>
        <v>1</v>
      </c>
      <c r="AS87" s="141">
        <f t="shared" si="62"/>
        <v>2.8086912168340947E-2</v>
      </c>
      <c r="AT87" s="139">
        <f t="shared" si="74"/>
        <v>62.813902527570264</v>
      </c>
      <c r="AU87" s="137">
        <f t="shared" si="87"/>
        <v>3</v>
      </c>
      <c r="AV87" s="138">
        <f t="shared" si="81"/>
        <v>1</v>
      </c>
      <c r="AW87" s="141">
        <f t="shared" si="63"/>
        <v>0.12337246437415773</v>
      </c>
      <c r="AX87" s="139">
        <f t="shared" si="75"/>
        <v>275.9116383224063</v>
      </c>
      <c r="AY87" s="137">
        <f t="shared" si="88"/>
        <v>3</v>
      </c>
      <c r="AZ87" s="138">
        <f t="shared" si="82"/>
        <v>1</v>
      </c>
      <c r="BA87" s="141">
        <f t="shared" si="64"/>
        <v>0.18072805562221256</v>
      </c>
      <c r="BB87" s="139">
        <f t="shared" si="76"/>
        <v>404.18236087365239</v>
      </c>
      <c r="BC87" s="137">
        <f t="shared" si="15"/>
        <v>3</v>
      </c>
      <c r="BD87" s="138">
        <f t="shared" si="22"/>
        <v>1.8724608112227297E-2</v>
      </c>
      <c r="BE87" s="138">
        <f t="shared" si="72"/>
        <v>3</v>
      </c>
      <c r="BF87" s="138">
        <f t="shared" si="77"/>
        <v>0.05</v>
      </c>
      <c r="BG87" s="137">
        <f t="shared" si="89"/>
        <v>2.1499999999999995</v>
      </c>
      <c r="BH87" s="141">
        <f t="shared" si="70"/>
        <v>2.3823602891864162E-3</v>
      </c>
      <c r="BI87" s="137">
        <f t="shared" si="90"/>
        <v>2.1499999999999995</v>
      </c>
      <c r="BJ87" s="141">
        <f t="shared" si="70"/>
        <v>1.319699837750136E-2</v>
      </c>
    </row>
    <row r="88" spans="24:62" ht="16.5" customHeight="1">
      <c r="AL88" s="111"/>
      <c r="AM88" s="137">
        <f t="shared" si="85"/>
        <v>2.5376000000000007</v>
      </c>
      <c r="AN88" s="138">
        <f t="shared" si="79"/>
        <v>1</v>
      </c>
      <c r="AO88" s="141">
        <f t="shared" si="61"/>
        <v>2.7671510245258511E-2</v>
      </c>
      <c r="AP88" s="139">
        <f t="shared" si="73"/>
        <v>44.278047770884363</v>
      </c>
      <c r="AQ88" s="137">
        <f t="shared" si="86"/>
        <v>3</v>
      </c>
      <c r="AR88" s="138">
        <f t="shared" si="80"/>
        <v>1</v>
      </c>
      <c r="AS88" s="141">
        <f t="shared" si="62"/>
        <v>2.8086912168340947E-2</v>
      </c>
      <c r="AT88" s="139">
        <f t="shared" si="74"/>
        <v>62.813902527570264</v>
      </c>
      <c r="AU88" s="137">
        <f t="shared" si="87"/>
        <v>3</v>
      </c>
      <c r="AV88" s="138">
        <f t="shared" si="81"/>
        <v>1</v>
      </c>
      <c r="AW88" s="141">
        <f t="shared" si="63"/>
        <v>0.12337246437415773</v>
      </c>
      <c r="AX88" s="139">
        <f t="shared" si="75"/>
        <v>275.9116383224063</v>
      </c>
      <c r="AY88" s="137">
        <f t="shared" si="88"/>
        <v>3</v>
      </c>
      <c r="AZ88" s="138">
        <f t="shared" si="82"/>
        <v>1</v>
      </c>
      <c r="BA88" s="141">
        <f t="shared" si="64"/>
        <v>0.18072805562221256</v>
      </c>
      <c r="BB88" s="139">
        <f t="shared" si="76"/>
        <v>404.18236087365239</v>
      </c>
      <c r="BC88" s="137">
        <f t="shared" si="15"/>
        <v>3</v>
      </c>
      <c r="BD88" s="138">
        <f t="shared" si="22"/>
        <v>1.8724608112227297E-2</v>
      </c>
      <c r="BE88" s="138">
        <f t="shared" si="72"/>
        <v>3</v>
      </c>
      <c r="BF88" s="138">
        <f t="shared" si="77"/>
        <v>0.05</v>
      </c>
      <c r="BG88" s="137">
        <f t="shared" si="89"/>
        <v>2.1999999999999993</v>
      </c>
      <c r="BH88" s="141">
        <f t="shared" si="70"/>
        <v>2.275301743133101E-3</v>
      </c>
      <c r="BI88" s="137">
        <f t="shared" si="90"/>
        <v>2.1999999999999993</v>
      </c>
      <c r="BJ88" s="141">
        <f t="shared" si="70"/>
        <v>1.2603951446281E-2</v>
      </c>
    </row>
    <row r="89" spans="24:62" ht="16.5" customHeight="1">
      <c r="AL89" s="111"/>
      <c r="AM89" s="137">
        <f t="shared" si="85"/>
        <v>2.5665000000000009</v>
      </c>
      <c r="AN89" s="138">
        <f t="shared" si="79"/>
        <v>1</v>
      </c>
      <c r="AO89" s="141">
        <f t="shared" si="61"/>
        <v>2.705183044073408E-2</v>
      </c>
      <c r="AP89" s="139">
        <f t="shared" si="73"/>
        <v>44.278047770884356</v>
      </c>
      <c r="AQ89" s="137">
        <f t="shared" si="86"/>
        <v>3</v>
      </c>
      <c r="AR89" s="138">
        <f t="shared" si="80"/>
        <v>1</v>
      </c>
      <c r="AS89" s="141">
        <f t="shared" si="62"/>
        <v>2.8086912168340947E-2</v>
      </c>
      <c r="AT89" s="139">
        <f t="shared" si="74"/>
        <v>62.813902527570264</v>
      </c>
      <c r="AU89" s="137">
        <f t="shared" si="87"/>
        <v>3</v>
      </c>
      <c r="AV89" s="138">
        <f t="shared" si="81"/>
        <v>1</v>
      </c>
      <c r="AW89" s="141">
        <f t="shared" si="63"/>
        <v>0.12337246437415773</v>
      </c>
      <c r="AX89" s="139">
        <f t="shared" si="75"/>
        <v>275.9116383224063</v>
      </c>
      <c r="AY89" s="137">
        <f t="shared" si="88"/>
        <v>3</v>
      </c>
      <c r="AZ89" s="138">
        <f t="shared" si="82"/>
        <v>1</v>
      </c>
      <c r="BA89" s="141">
        <f t="shared" si="64"/>
        <v>0.18072805562221256</v>
      </c>
      <c r="BB89" s="139">
        <f t="shared" si="76"/>
        <v>404.18236087365239</v>
      </c>
      <c r="BC89" s="137">
        <f t="shared" si="15"/>
        <v>3</v>
      </c>
      <c r="BD89" s="138">
        <f t="shared" si="22"/>
        <v>1.8724608112227297E-2</v>
      </c>
      <c r="BE89" s="138">
        <f t="shared" si="72"/>
        <v>3</v>
      </c>
      <c r="BF89" s="138">
        <f t="shared" si="77"/>
        <v>0.05</v>
      </c>
      <c r="BG89" s="137">
        <f t="shared" si="89"/>
        <v>2.2499999999999991</v>
      </c>
      <c r="BH89" s="141">
        <f t="shared" si="70"/>
        <v>2.1753008270151528E-3</v>
      </c>
      <c r="BI89" s="137">
        <f t="shared" si="90"/>
        <v>2.2499999999999991</v>
      </c>
      <c r="BJ89" s="141">
        <f t="shared" si="70"/>
        <v>1.205000000000001E-2</v>
      </c>
    </row>
    <row r="90" spans="24:62" ht="16.5" customHeight="1">
      <c r="AL90" s="111"/>
      <c r="AM90" s="137">
        <f t="shared" si="85"/>
        <v>2.595400000000001</v>
      </c>
      <c r="AN90" s="138">
        <f t="shared" si="79"/>
        <v>1</v>
      </c>
      <c r="AO90" s="141">
        <f t="shared" si="61"/>
        <v>2.6452735729595035E-2</v>
      </c>
      <c r="AP90" s="139">
        <f t="shared" si="73"/>
        <v>44.278047770884356</v>
      </c>
      <c r="AQ90" s="137">
        <f t="shared" si="86"/>
        <v>3</v>
      </c>
      <c r="AR90" s="138">
        <f t="shared" si="80"/>
        <v>1</v>
      </c>
      <c r="AS90" s="141">
        <f t="shared" si="62"/>
        <v>2.8086912168340947E-2</v>
      </c>
      <c r="AT90" s="139">
        <f t="shared" si="74"/>
        <v>62.813902527570264</v>
      </c>
      <c r="AU90" s="137">
        <f t="shared" si="87"/>
        <v>3</v>
      </c>
      <c r="AV90" s="138">
        <f t="shared" si="81"/>
        <v>1</v>
      </c>
      <c r="AW90" s="141">
        <f t="shared" si="63"/>
        <v>0.12337246437415773</v>
      </c>
      <c r="AX90" s="139">
        <f t="shared" si="75"/>
        <v>275.9116383224063</v>
      </c>
      <c r="AY90" s="137">
        <f t="shared" si="88"/>
        <v>3</v>
      </c>
      <c r="AZ90" s="138">
        <f t="shared" si="82"/>
        <v>1</v>
      </c>
      <c r="BA90" s="141">
        <f t="shared" si="64"/>
        <v>0.18072805562221256</v>
      </c>
      <c r="BB90" s="139">
        <f t="shared" si="76"/>
        <v>404.18236087365239</v>
      </c>
      <c r="BC90" s="137">
        <f t="shared" si="15"/>
        <v>3</v>
      </c>
      <c r="BD90" s="138">
        <f t="shared" si="22"/>
        <v>1.8724608112227297E-2</v>
      </c>
      <c r="BE90" s="138">
        <f t="shared" si="72"/>
        <v>3</v>
      </c>
      <c r="BF90" s="138">
        <f t="shared" si="77"/>
        <v>0.05</v>
      </c>
      <c r="BG90" s="137">
        <f t="shared" si="89"/>
        <v>2.2999999999999989</v>
      </c>
      <c r="BH90" s="141">
        <f t="shared" si="70"/>
        <v>2.0817505551539157E-3</v>
      </c>
      <c r="BI90" s="137">
        <f t="shared" si="90"/>
        <v>2.2999999999999989</v>
      </c>
      <c r="BJ90" s="141">
        <f t="shared" si="70"/>
        <v>1.153178166351608E-2</v>
      </c>
    </row>
    <row r="91" spans="24:62" ht="16.5" customHeight="1">
      <c r="AL91" s="111"/>
      <c r="AM91" s="137">
        <f t="shared" si="85"/>
        <v>2.6243000000000012</v>
      </c>
      <c r="AN91" s="138">
        <f t="shared" si="79"/>
        <v>1</v>
      </c>
      <c r="AO91" s="141">
        <f t="shared" si="61"/>
        <v>2.587332435335956E-2</v>
      </c>
      <c r="AP91" s="139">
        <f t="shared" si="73"/>
        <v>44.278047770884356</v>
      </c>
      <c r="AQ91" s="137">
        <f t="shared" si="86"/>
        <v>3</v>
      </c>
      <c r="AR91" s="138">
        <f t="shared" si="80"/>
        <v>1</v>
      </c>
      <c r="AS91" s="141">
        <f t="shared" si="62"/>
        <v>2.8086912168340947E-2</v>
      </c>
      <c r="AT91" s="139">
        <f t="shared" si="74"/>
        <v>62.813902527570264</v>
      </c>
      <c r="AU91" s="137">
        <f t="shared" si="87"/>
        <v>3</v>
      </c>
      <c r="AV91" s="138">
        <f t="shared" si="81"/>
        <v>1</v>
      </c>
      <c r="AW91" s="141">
        <f t="shared" si="63"/>
        <v>0.12337246437415773</v>
      </c>
      <c r="AX91" s="139">
        <f t="shared" si="75"/>
        <v>275.9116383224063</v>
      </c>
      <c r="AY91" s="137">
        <f t="shared" si="88"/>
        <v>3</v>
      </c>
      <c r="AZ91" s="138">
        <f t="shared" si="82"/>
        <v>1</v>
      </c>
      <c r="BA91" s="141">
        <f t="shared" si="64"/>
        <v>0.18072805562221256</v>
      </c>
      <c r="BB91" s="139">
        <f t="shared" si="76"/>
        <v>404.18236087365239</v>
      </c>
      <c r="BC91" s="137">
        <f t="shared" si="15"/>
        <v>3</v>
      </c>
      <c r="BD91" s="138">
        <f t="shared" si="22"/>
        <v>1.8724608112227297E-2</v>
      </c>
      <c r="BE91" s="138">
        <f t="shared" si="72"/>
        <v>3</v>
      </c>
      <c r="BF91" s="138">
        <f t="shared" si="77"/>
        <v>0.05</v>
      </c>
      <c r="BG91" s="137">
        <f t="shared" si="89"/>
        <v>2.3499999999999988</v>
      </c>
      <c r="BH91" s="141">
        <f t="shared" si="70"/>
        <v>1.9941078201474358E-3</v>
      </c>
      <c r="BI91" s="137">
        <f t="shared" si="90"/>
        <v>2.3499999999999988</v>
      </c>
      <c r="BJ91" s="141">
        <f t="shared" si="70"/>
        <v>1.1046287913082856E-2</v>
      </c>
    </row>
    <row r="92" spans="24:62" ht="16.5" customHeight="1">
      <c r="AL92" s="111"/>
      <c r="AM92" s="137">
        <f t="shared" si="85"/>
        <v>2.6532000000000013</v>
      </c>
      <c r="AN92" s="138">
        <f t="shared" si="79"/>
        <v>1</v>
      </c>
      <c r="AO92" s="141">
        <f t="shared" si="61"/>
        <v>2.5312743396625047E-2</v>
      </c>
      <c r="AP92" s="139">
        <f t="shared" si="73"/>
        <v>44.278047770884356</v>
      </c>
      <c r="AQ92" s="137">
        <f t="shared" si="86"/>
        <v>3</v>
      </c>
      <c r="AR92" s="138">
        <f t="shared" si="80"/>
        <v>1</v>
      </c>
      <c r="AS92" s="141">
        <f t="shared" si="62"/>
        <v>2.8086912168340947E-2</v>
      </c>
      <c r="AT92" s="139">
        <f t="shared" si="74"/>
        <v>62.813902527570264</v>
      </c>
      <c r="AU92" s="137">
        <f t="shared" si="87"/>
        <v>3</v>
      </c>
      <c r="AV92" s="138">
        <f t="shared" si="81"/>
        <v>1</v>
      </c>
      <c r="AW92" s="141">
        <f t="shared" si="63"/>
        <v>0.12337246437415773</v>
      </c>
      <c r="AX92" s="139">
        <f t="shared" si="75"/>
        <v>275.9116383224063</v>
      </c>
      <c r="AY92" s="137">
        <f t="shared" si="88"/>
        <v>3</v>
      </c>
      <c r="AZ92" s="138">
        <f t="shared" si="82"/>
        <v>1</v>
      </c>
      <c r="BA92" s="141">
        <f t="shared" si="64"/>
        <v>0.18072805562221256</v>
      </c>
      <c r="BB92" s="139">
        <f t="shared" si="76"/>
        <v>404.18236087365239</v>
      </c>
      <c r="BC92" s="137">
        <f t="shared" si="15"/>
        <v>3</v>
      </c>
      <c r="BD92" s="138">
        <f t="shared" si="22"/>
        <v>1.8724608112227297E-2</v>
      </c>
      <c r="BE92" s="138">
        <f t="shared" si="72"/>
        <v>3</v>
      </c>
      <c r="BF92" s="138">
        <f t="shared" si="77"/>
        <v>0.05</v>
      </c>
      <c r="BG92" s="137">
        <f t="shared" si="89"/>
        <v>2.3999999999999986</v>
      </c>
      <c r="BH92" s="141">
        <f t="shared" si="70"/>
        <v>1.9118854924937874E-3</v>
      </c>
      <c r="BI92" s="137">
        <f t="shared" si="90"/>
        <v>2.3999999999999986</v>
      </c>
      <c r="BJ92" s="141">
        <f t="shared" si="70"/>
        <v>1.0590820312500013E-2</v>
      </c>
    </row>
    <row r="93" spans="24:62" ht="16.5" customHeight="1">
      <c r="AL93" s="111"/>
      <c r="AM93" s="137">
        <f t="shared" si="85"/>
        <v>2.6821000000000015</v>
      </c>
      <c r="AN93" s="138">
        <f t="shared" si="79"/>
        <v>1</v>
      </c>
      <c r="AO93" s="141">
        <f t="shared" si="61"/>
        <v>2.4770185646461249E-2</v>
      </c>
      <c r="AP93" s="139">
        <f t="shared" si="73"/>
        <v>44.278047770884356</v>
      </c>
      <c r="AQ93" s="137">
        <f t="shared" si="86"/>
        <v>3</v>
      </c>
      <c r="AR93" s="138">
        <f t="shared" si="80"/>
        <v>1</v>
      </c>
      <c r="AS93" s="141">
        <f t="shared" si="62"/>
        <v>2.8086912168340947E-2</v>
      </c>
      <c r="AT93" s="139">
        <f t="shared" si="74"/>
        <v>62.813902527570264</v>
      </c>
      <c r="AU93" s="137">
        <f t="shared" si="87"/>
        <v>3</v>
      </c>
      <c r="AV93" s="138">
        <f t="shared" si="81"/>
        <v>1</v>
      </c>
      <c r="AW93" s="141">
        <f t="shared" si="63"/>
        <v>0.12337246437415773</v>
      </c>
      <c r="AX93" s="139">
        <f t="shared" si="75"/>
        <v>275.9116383224063</v>
      </c>
      <c r="AY93" s="137">
        <f t="shared" si="88"/>
        <v>3</v>
      </c>
      <c r="AZ93" s="138">
        <f t="shared" si="82"/>
        <v>1</v>
      </c>
      <c r="BA93" s="141">
        <f t="shared" si="64"/>
        <v>0.18072805562221256</v>
      </c>
      <c r="BB93" s="139">
        <f t="shared" si="76"/>
        <v>404.18236087365239</v>
      </c>
      <c r="BC93" s="137">
        <f t="shared" si="15"/>
        <v>3</v>
      </c>
      <c r="BD93" s="138">
        <f t="shared" si="22"/>
        <v>1.8724608112227297E-2</v>
      </c>
      <c r="BE93" s="138">
        <f t="shared" si="72"/>
        <v>3</v>
      </c>
      <c r="BF93" s="138">
        <f t="shared" si="77"/>
        <v>0.05</v>
      </c>
      <c r="BG93" s="137">
        <f t="shared" si="89"/>
        <v>2.4499999999999984</v>
      </c>
      <c r="BH93" s="141">
        <f t="shared" si="70"/>
        <v>1.8346456371119062E-3</v>
      </c>
      <c r="BI93" s="137">
        <f t="shared" si="90"/>
        <v>2.4499999999999984</v>
      </c>
      <c r="BJ93" s="141">
        <f t="shared" si="70"/>
        <v>1.0162952936276564E-2</v>
      </c>
    </row>
    <row r="94" spans="24:62" ht="16.5" customHeight="1">
      <c r="AL94" s="111"/>
      <c r="AM94" s="137">
        <f t="shared" si="85"/>
        <v>2.7110000000000016</v>
      </c>
      <c r="AN94" s="138">
        <f t="shared" si="79"/>
        <v>1</v>
      </c>
      <c r="AO94" s="141">
        <f t="shared" si="61"/>
        <v>2.4244886684900758E-2</v>
      </c>
      <c r="AP94" s="139">
        <f t="shared" si="73"/>
        <v>44.278047770884356</v>
      </c>
      <c r="AQ94" s="137">
        <f t="shared" si="86"/>
        <v>3</v>
      </c>
      <c r="AR94" s="138">
        <f t="shared" si="80"/>
        <v>1</v>
      </c>
      <c r="AS94" s="141">
        <f t="shared" si="62"/>
        <v>2.8086912168340947E-2</v>
      </c>
      <c r="AT94" s="139">
        <f t="shared" si="74"/>
        <v>62.813902527570264</v>
      </c>
      <c r="AU94" s="137">
        <f t="shared" si="87"/>
        <v>3</v>
      </c>
      <c r="AV94" s="138">
        <f t="shared" si="81"/>
        <v>1</v>
      </c>
      <c r="AW94" s="141">
        <f t="shared" si="63"/>
        <v>0.12337246437415773</v>
      </c>
      <c r="AX94" s="139">
        <f t="shared" si="75"/>
        <v>275.9116383224063</v>
      </c>
      <c r="AY94" s="137">
        <f t="shared" si="88"/>
        <v>3</v>
      </c>
      <c r="AZ94" s="138">
        <f t="shared" si="82"/>
        <v>1</v>
      </c>
      <c r="BA94" s="141">
        <f t="shared" si="64"/>
        <v>0.18072805562221256</v>
      </c>
      <c r="BB94" s="139">
        <f t="shared" si="76"/>
        <v>404.18236087365239</v>
      </c>
      <c r="BC94" s="137">
        <f t="shared" si="15"/>
        <v>3</v>
      </c>
      <c r="BD94" s="138">
        <f t="shared" si="22"/>
        <v>1.8724608112227297E-2</v>
      </c>
      <c r="BE94" s="138">
        <f t="shared" si="72"/>
        <v>3</v>
      </c>
      <c r="BF94" s="138">
        <f t="shared" si="77"/>
        <v>0.05</v>
      </c>
      <c r="BG94" s="137">
        <f t="shared" si="89"/>
        <v>2.4999999999999982</v>
      </c>
      <c r="BH94" s="141">
        <f t="shared" si="70"/>
        <v>1.761993669882275E-3</v>
      </c>
      <c r="BI94" s="137">
        <f t="shared" si="90"/>
        <v>2.4999999999999982</v>
      </c>
      <c r="BJ94" s="141">
        <f t="shared" si="70"/>
        <v>9.760500000000014E-3</v>
      </c>
    </row>
    <row r="95" spans="24:62" ht="16.5" customHeight="1">
      <c r="AL95" s="111"/>
      <c r="AM95" s="137">
        <f t="shared" si="85"/>
        <v>2.7399000000000018</v>
      </c>
      <c r="AN95" s="138">
        <f t="shared" si="79"/>
        <v>1</v>
      </c>
      <c r="AO95" s="141">
        <f t="shared" si="61"/>
        <v>2.3736122194962454E-2</v>
      </c>
      <c r="AP95" s="139">
        <f t="shared" si="73"/>
        <v>44.278047770884363</v>
      </c>
      <c r="AQ95" s="137">
        <f t="shared" si="86"/>
        <v>3</v>
      </c>
      <c r="AR95" s="138">
        <f t="shared" si="80"/>
        <v>1</v>
      </c>
      <c r="AS95" s="141">
        <f t="shared" si="62"/>
        <v>2.8086912168340947E-2</v>
      </c>
      <c r="AT95" s="139">
        <f t="shared" si="74"/>
        <v>62.813902527570264</v>
      </c>
      <c r="AU95" s="137">
        <f t="shared" si="87"/>
        <v>3</v>
      </c>
      <c r="AV95" s="138">
        <f t="shared" si="81"/>
        <v>1</v>
      </c>
      <c r="AW95" s="141">
        <f t="shared" si="63"/>
        <v>0.12337246437415773</v>
      </c>
      <c r="AX95" s="139">
        <f t="shared" si="75"/>
        <v>275.9116383224063</v>
      </c>
      <c r="AY95" s="137">
        <f t="shared" si="88"/>
        <v>3</v>
      </c>
      <c r="AZ95" s="138">
        <f t="shared" si="82"/>
        <v>1</v>
      </c>
      <c r="BA95" s="141">
        <f t="shared" si="64"/>
        <v>0.18072805562221256</v>
      </c>
      <c r="BB95" s="139">
        <f t="shared" si="76"/>
        <v>404.18236087365239</v>
      </c>
      <c r="BC95" s="137">
        <f t="shared" si="15"/>
        <v>3</v>
      </c>
      <c r="BD95" s="138">
        <f t="shared" si="22"/>
        <v>1.8724608112227297E-2</v>
      </c>
      <c r="BE95" s="138">
        <f t="shared" si="72"/>
        <v>3</v>
      </c>
      <c r="BF95" s="138">
        <f t="shared" si="77"/>
        <v>0.05</v>
      </c>
      <c r="BG95" s="137">
        <f t="shared" si="89"/>
        <v>2.549999999999998</v>
      </c>
      <c r="BH95" s="141">
        <f t="shared" si="70"/>
        <v>1.6935733082297916E-3</v>
      </c>
      <c r="BI95" s="137">
        <f t="shared" si="90"/>
        <v>2.549999999999998</v>
      </c>
      <c r="BJ95" s="141">
        <f t="shared" si="70"/>
        <v>9.3814878892733728E-3</v>
      </c>
    </row>
    <row r="96" spans="24:62" ht="16.5" customHeight="1">
      <c r="AL96" s="111"/>
      <c r="AM96" s="137">
        <f t="shared" si="85"/>
        <v>2.7688000000000019</v>
      </c>
      <c r="AN96" s="138">
        <f t="shared" si="79"/>
        <v>1</v>
      </c>
      <c r="AO96" s="141">
        <f t="shared" si="61"/>
        <v>2.3243205462471443E-2</v>
      </c>
      <c r="AP96" s="139">
        <f t="shared" si="73"/>
        <v>44.278047770884363</v>
      </c>
      <c r="AQ96" s="137">
        <f t="shared" si="86"/>
        <v>3</v>
      </c>
      <c r="AR96" s="138">
        <f t="shared" si="80"/>
        <v>1</v>
      </c>
      <c r="AS96" s="141">
        <f t="shared" si="62"/>
        <v>2.8086912168340947E-2</v>
      </c>
      <c r="AT96" s="139">
        <f t="shared" si="74"/>
        <v>62.813902527570264</v>
      </c>
      <c r="AU96" s="137">
        <f t="shared" si="87"/>
        <v>3</v>
      </c>
      <c r="AV96" s="138">
        <f t="shared" si="81"/>
        <v>1</v>
      </c>
      <c r="AW96" s="141">
        <f t="shared" si="63"/>
        <v>0.12337246437415773</v>
      </c>
      <c r="AX96" s="139">
        <f t="shared" si="75"/>
        <v>275.9116383224063</v>
      </c>
      <c r="AY96" s="137">
        <f t="shared" si="88"/>
        <v>3</v>
      </c>
      <c r="AZ96" s="138">
        <f t="shared" si="82"/>
        <v>1</v>
      </c>
      <c r="BA96" s="141">
        <f t="shared" si="64"/>
        <v>0.18072805562221256</v>
      </c>
      <c r="BB96" s="139">
        <f t="shared" si="76"/>
        <v>404.18236087365239</v>
      </c>
      <c r="BC96" s="137">
        <f t="shared" si="15"/>
        <v>3</v>
      </c>
      <c r="BD96" s="138">
        <f t="shared" si="22"/>
        <v>1.8724608112227297E-2</v>
      </c>
      <c r="BE96" s="138">
        <f t="shared" si="72"/>
        <v>3</v>
      </c>
      <c r="BF96" s="138">
        <f t="shared" si="77"/>
        <v>0.05</v>
      </c>
      <c r="BG96" s="137">
        <f t="shared" si="89"/>
        <v>2.5999999999999979</v>
      </c>
      <c r="BH96" s="141">
        <f t="shared" si="70"/>
        <v>1.6290621947876065E-3</v>
      </c>
      <c r="BI96" s="137">
        <f t="shared" si="90"/>
        <v>2.5999999999999979</v>
      </c>
      <c r="BJ96" s="141">
        <f t="shared" si="70"/>
        <v>9.0241309171597787E-3</v>
      </c>
    </row>
    <row r="97" spans="32:62" ht="16.5" customHeight="1">
      <c r="AL97" s="111"/>
      <c r="AM97" s="137">
        <f t="shared" si="85"/>
        <v>2.7977000000000021</v>
      </c>
      <c r="AN97" s="138">
        <f t="shared" si="79"/>
        <v>1</v>
      </c>
      <c r="AO97" s="141">
        <f t="shared" si="61"/>
        <v>2.276548505757961E-2</v>
      </c>
      <c r="AP97" s="139">
        <f t="shared" si="73"/>
        <v>44.278047770884363</v>
      </c>
      <c r="AQ97" s="137">
        <f t="shared" si="86"/>
        <v>3</v>
      </c>
      <c r="AR97" s="138">
        <f t="shared" si="80"/>
        <v>1</v>
      </c>
      <c r="AS97" s="141">
        <f t="shared" si="62"/>
        <v>2.8086912168340947E-2</v>
      </c>
      <c r="AT97" s="139">
        <f t="shared" si="74"/>
        <v>62.813902527570264</v>
      </c>
      <c r="AU97" s="137">
        <f t="shared" si="87"/>
        <v>3</v>
      </c>
      <c r="AV97" s="138">
        <f t="shared" si="81"/>
        <v>1</v>
      </c>
      <c r="AW97" s="141">
        <f t="shared" si="63"/>
        <v>0.12337246437415773</v>
      </c>
      <c r="AX97" s="139">
        <f t="shared" si="75"/>
        <v>275.9116383224063</v>
      </c>
      <c r="AY97" s="137">
        <f t="shared" si="88"/>
        <v>3</v>
      </c>
      <c r="AZ97" s="138">
        <f t="shared" si="82"/>
        <v>1</v>
      </c>
      <c r="BA97" s="141">
        <f t="shared" si="64"/>
        <v>0.18072805562221256</v>
      </c>
      <c r="BB97" s="139">
        <f t="shared" si="76"/>
        <v>404.18236087365239</v>
      </c>
      <c r="BC97" s="137">
        <f t="shared" si="15"/>
        <v>3</v>
      </c>
      <c r="BD97" s="138">
        <f t="shared" si="22"/>
        <v>1.8724608112227297E-2</v>
      </c>
      <c r="BE97" s="138">
        <f t="shared" si="72"/>
        <v>3</v>
      </c>
      <c r="BF97" s="138">
        <f t="shared" si="77"/>
        <v>0.05</v>
      </c>
      <c r="BG97" s="137">
        <f t="shared" si="89"/>
        <v>2.6499999999999977</v>
      </c>
      <c r="BH97" s="141">
        <f t="shared" si="70"/>
        <v>1.5681680935228511E-3</v>
      </c>
      <c r="BI97" s="137">
        <f t="shared" si="90"/>
        <v>2.6499999999999977</v>
      </c>
      <c r="BJ97" s="141">
        <f t="shared" si="70"/>
        <v>8.6868102527590044E-3</v>
      </c>
    </row>
    <row r="98" spans="32:62" ht="16.5" customHeight="1">
      <c r="AL98" s="111"/>
      <c r="AM98" s="137">
        <f t="shared" si="85"/>
        <v>2.8266000000000022</v>
      </c>
      <c r="AN98" s="138">
        <f t="shared" si="79"/>
        <v>1</v>
      </c>
      <c r="AO98" s="141">
        <f t="shared" si="61"/>
        <v>2.2302342681364135E-2</v>
      </c>
      <c r="AP98" s="139">
        <f t="shared" si="73"/>
        <v>44.278047770884356</v>
      </c>
      <c r="AQ98" s="137">
        <f t="shared" si="86"/>
        <v>3</v>
      </c>
      <c r="AR98" s="138">
        <f t="shared" si="80"/>
        <v>1</v>
      </c>
      <c r="AS98" s="141">
        <f t="shared" si="62"/>
        <v>2.8086912168340947E-2</v>
      </c>
      <c r="AT98" s="139">
        <f t="shared" si="74"/>
        <v>62.813902527570264</v>
      </c>
      <c r="AU98" s="137">
        <f t="shared" si="87"/>
        <v>3</v>
      </c>
      <c r="AV98" s="138">
        <f t="shared" si="81"/>
        <v>1</v>
      </c>
      <c r="AW98" s="141">
        <f t="shared" si="63"/>
        <v>0.12337246437415773</v>
      </c>
      <c r="AX98" s="139">
        <f t="shared" si="75"/>
        <v>275.9116383224063</v>
      </c>
      <c r="AY98" s="137">
        <f t="shared" si="88"/>
        <v>3</v>
      </c>
      <c r="AZ98" s="138">
        <f t="shared" si="82"/>
        <v>1</v>
      </c>
      <c r="BA98" s="141">
        <f t="shared" si="64"/>
        <v>0.18072805562221256</v>
      </c>
      <c r="BB98" s="139">
        <f t="shared" si="76"/>
        <v>404.18236087365239</v>
      </c>
      <c r="BC98" s="137">
        <f t="shared" si="15"/>
        <v>3</v>
      </c>
      <c r="BD98" s="138">
        <f t="shared" si="22"/>
        <v>1.8724608112227297E-2</v>
      </c>
      <c r="BE98" s="138">
        <f t="shared" si="72"/>
        <v>3</v>
      </c>
      <c r="BF98" s="138">
        <f t="shared" si="77"/>
        <v>0.05</v>
      </c>
      <c r="BG98" s="137">
        <f t="shared" si="89"/>
        <v>2.6999999999999975</v>
      </c>
      <c r="BH98" s="141">
        <f t="shared" si="70"/>
        <v>1.51062557431608E-3</v>
      </c>
      <c r="BI98" s="137">
        <f t="shared" si="90"/>
        <v>2.6999999999999975</v>
      </c>
      <c r="BJ98" s="141">
        <f t="shared" si="70"/>
        <v>8.3680555555555713E-3</v>
      </c>
    </row>
    <row r="99" spans="32:62" ht="16.5" customHeight="1">
      <c r="AL99" s="111"/>
      <c r="AM99" s="137">
        <f t="shared" si="85"/>
        <v>2.8555000000000024</v>
      </c>
      <c r="AN99" s="138">
        <f t="shared" si="79"/>
        <v>1</v>
      </c>
      <c r="AO99" s="141">
        <f t="shared" si="61"/>
        <v>2.1853191164206569E-2</v>
      </c>
      <c r="AP99" s="139">
        <f t="shared" si="73"/>
        <v>44.278047770884356</v>
      </c>
      <c r="AQ99" s="137">
        <f t="shared" si="86"/>
        <v>3</v>
      </c>
      <c r="AR99" s="138">
        <f t="shared" si="80"/>
        <v>1</v>
      </c>
      <c r="AS99" s="141">
        <f t="shared" si="62"/>
        <v>2.8086912168340947E-2</v>
      </c>
      <c r="AT99" s="139">
        <f t="shared" si="74"/>
        <v>62.813902527570264</v>
      </c>
      <c r="AU99" s="137">
        <f t="shared" si="87"/>
        <v>3</v>
      </c>
      <c r="AV99" s="138">
        <f t="shared" si="81"/>
        <v>1</v>
      </c>
      <c r="AW99" s="141">
        <f t="shared" si="63"/>
        <v>0.12337246437415773</v>
      </c>
      <c r="AX99" s="139">
        <f t="shared" si="75"/>
        <v>275.9116383224063</v>
      </c>
      <c r="AY99" s="137">
        <f t="shared" si="88"/>
        <v>3</v>
      </c>
      <c r="AZ99" s="138">
        <f t="shared" si="82"/>
        <v>1</v>
      </c>
      <c r="BA99" s="141">
        <f t="shared" si="64"/>
        <v>0.18072805562221256</v>
      </c>
      <c r="BB99" s="139">
        <f t="shared" si="76"/>
        <v>404.18236087365239</v>
      </c>
      <c r="BC99" s="137">
        <f t="shared" si="15"/>
        <v>3</v>
      </c>
      <c r="BD99" s="138">
        <f t="shared" si="22"/>
        <v>1.8724608112227297E-2</v>
      </c>
      <c r="BE99" s="138">
        <f t="shared" si="72"/>
        <v>3</v>
      </c>
      <c r="BF99" s="138">
        <f t="shared" si="77"/>
        <v>0.05</v>
      </c>
      <c r="BG99" s="137">
        <f t="shared" si="89"/>
        <v>2.7499999999999973</v>
      </c>
      <c r="BH99" s="141">
        <f t="shared" si="70"/>
        <v>1.4561931156051866E-3</v>
      </c>
      <c r="BI99" s="137">
        <f t="shared" si="90"/>
        <v>2.7499999999999973</v>
      </c>
      <c r="BJ99" s="141">
        <f t="shared" si="70"/>
        <v>8.0665289256198498E-3</v>
      </c>
    </row>
    <row r="100" spans="32:62" ht="16.5" customHeight="1">
      <c r="AL100" s="111"/>
      <c r="AM100" s="137">
        <f t="shared" si="85"/>
        <v>2.8844000000000025</v>
      </c>
      <c r="AN100" s="138">
        <f t="shared" si="79"/>
        <v>1</v>
      </c>
      <c r="AO100" s="141">
        <f t="shared" si="61"/>
        <v>2.1417472603848006E-2</v>
      </c>
      <c r="AP100" s="139">
        <f t="shared" si="73"/>
        <v>44.278047770884363</v>
      </c>
      <c r="AQ100" s="137">
        <f t="shared" si="86"/>
        <v>3</v>
      </c>
      <c r="AR100" s="138">
        <f t="shared" si="80"/>
        <v>1</v>
      </c>
      <c r="AS100" s="141">
        <f t="shared" si="62"/>
        <v>2.8086912168340947E-2</v>
      </c>
      <c r="AT100" s="139">
        <f t="shared" si="74"/>
        <v>62.813902527570264</v>
      </c>
      <c r="AU100" s="137">
        <f t="shared" si="87"/>
        <v>3</v>
      </c>
      <c r="AV100" s="138">
        <f t="shared" si="81"/>
        <v>1</v>
      </c>
      <c r="AW100" s="141">
        <f t="shared" si="63"/>
        <v>0.12337246437415773</v>
      </c>
      <c r="AX100" s="139">
        <f t="shared" si="75"/>
        <v>275.9116383224063</v>
      </c>
      <c r="AY100" s="137">
        <f t="shared" si="88"/>
        <v>3</v>
      </c>
      <c r="AZ100" s="138">
        <f t="shared" si="82"/>
        <v>1</v>
      </c>
      <c r="BA100" s="141">
        <f t="shared" si="64"/>
        <v>0.18072805562221256</v>
      </c>
      <c r="BB100" s="139">
        <f t="shared" si="76"/>
        <v>404.18236087365239</v>
      </c>
      <c r="BC100" s="137">
        <f t="shared" si="15"/>
        <v>3</v>
      </c>
      <c r="BD100" s="138">
        <f t="shared" si="22"/>
        <v>1.8724608112227297E-2</v>
      </c>
      <c r="BE100" s="138">
        <f t="shared" si="72"/>
        <v>3</v>
      </c>
      <c r="BF100" s="138">
        <f t="shared" si="77"/>
        <v>0.05</v>
      </c>
      <c r="BG100" s="137">
        <f t="shared" si="89"/>
        <v>2.7999999999999972</v>
      </c>
      <c r="BH100" s="141">
        <f t="shared" si="70"/>
        <v>1.4046505659138042E-3</v>
      </c>
      <c r="BI100" s="137">
        <f t="shared" si="90"/>
        <v>2.7999999999999972</v>
      </c>
      <c r="BJ100" s="141">
        <f t="shared" si="70"/>
        <v>7.781010841836751E-3</v>
      </c>
    </row>
    <row r="101" spans="32:62" ht="16.5" customHeight="1">
      <c r="AL101" s="111"/>
      <c r="AM101" s="137">
        <f t="shared" si="85"/>
        <v>2.9133000000000027</v>
      </c>
      <c r="AN101" s="138">
        <f t="shared" si="79"/>
        <v>1</v>
      </c>
      <c r="AO101" s="141">
        <f t="shared" si="61"/>
        <v>2.099465663209123E-2</v>
      </c>
      <c r="AP101" s="139">
        <f t="shared" si="73"/>
        <v>44.278047770884356</v>
      </c>
      <c r="AQ101" s="137">
        <f t="shared" si="86"/>
        <v>3</v>
      </c>
      <c r="AR101" s="138">
        <f t="shared" si="80"/>
        <v>1</v>
      </c>
      <c r="AS101" s="141">
        <f t="shared" si="62"/>
        <v>2.8086912168340947E-2</v>
      </c>
      <c r="AT101" s="139">
        <f t="shared" si="74"/>
        <v>62.813902527570264</v>
      </c>
      <c r="AU101" s="137">
        <f t="shared" si="87"/>
        <v>3</v>
      </c>
      <c r="AV101" s="138">
        <f t="shared" si="81"/>
        <v>1</v>
      </c>
      <c r="AW101" s="141">
        <f t="shared" si="63"/>
        <v>0.12337246437415773</v>
      </c>
      <c r="AX101" s="139">
        <f t="shared" si="75"/>
        <v>275.9116383224063</v>
      </c>
      <c r="AY101" s="137">
        <f t="shared" si="88"/>
        <v>3</v>
      </c>
      <c r="AZ101" s="138">
        <f t="shared" si="82"/>
        <v>1</v>
      </c>
      <c r="BA101" s="141">
        <f t="shared" si="64"/>
        <v>0.18072805562221256</v>
      </c>
      <c r="BB101" s="139">
        <f t="shared" si="76"/>
        <v>404.18236087365239</v>
      </c>
      <c r="BC101" s="137">
        <f t="shared" si="15"/>
        <v>3</v>
      </c>
      <c r="BD101" s="138">
        <f t="shared" si="22"/>
        <v>1.8724608112227297E-2</v>
      </c>
      <c r="BE101" s="138">
        <f t="shared" si="72"/>
        <v>3</v>
      </c>
      <c r="BF101" s="138">
        <f t="shared" si="77"/>
        <v>0.05</v>
      </c>
      <c r="BG101" s="137">
        <f t="shared" si="89"/>
        <v>2.849999999999997</v>
      </c>
      <c r="BH101" s="141">
        <f t="shared" si="70"/>
        <v>1.3557969143446261E-3</v>
      </c>
      <c r="BI101" s="137">
        <f t="shared" si="90"/>
        <v>2.849999999999997</v>
      </c>
      <c r="BJ101" s="141">
        <f t="shared" si="70"/>
        <v>7.5103878116343659E-3</v>
      </c>
    </row>
    <row r="102" spans="32:62" ht="16.5" customHeight="1">
      <c r="AL102" s="111"/>
      <c r="AM102" s="137">
        <f t="shared" si="85"/>
        <v>2.9422000000000028</v>
      </c>
      <c r="AN102" s="138">
        <f t="shared" si="79"/>
        <v>1</v>
      </c>
      <c r="AO102" s="141">
        <f t="shared" si="61"/>
        <v>2.0584238800090776E-2</v>
      </c>
      <c r="AP102" s="139">
        <f t="shared" si="73"/>
        <v>44.278047770884356</v>
      </c>
      <c r="AQ102" s="137">
        <f t="shared" si="86"/>
        <v>3</v>
      </c>
      <c r="AR102" s="138">
        <f t="shared" si="80"/>
        <v>1</v>
      </c>
      <c r="AS102" s="141">
        <f t="shared" si="62"/>
        <v>2.8086912168340947E-2</v>
      </c>
      <c r="AT102" s="139">
        <f t="shared" si="74"/>
        <v>62.813902527570264</v>
      </c>
      <c r="AU102" s="137">
        <f t="shared" si="87"/>
        <v>3</v>
      </c>
      <c r="AV102" s="138">
        <f t="shared" si="81"/>
        <v>1</v>
      </c>
      <c r="AW102" s="141">
        <f t="shared" si="63"/>
        <v>0.12337246437415773</v>
      </c>
      <c r="AX102" s="139">
        <f t="shared" si="75"/>
        <v>275.9116383224063</v>
      </c>
      <c r="AY102" s="137">
        <f t="shared" si="88"/>
        <v>3</v>
      </c>
      <c r="AZ102" s="138">
        <f t="shared" si="82"/>
        <v>1</v>
      </c>
      <c r="BA102" s="141">
        <f t="shared" si="64"/>
        <v>0.18072805562221256</v>
      </c>
      <c r="BB102" s="139">
        <f t="shared" si="76"/>
        <v>404.18236087365239</v>
      </c>
      <c r="BC102" s="137">
        <f t="shared" si="15"/>
        <v>3</v>
      </c>
      <c r="BD102" s="138">
        <f t="shared" si="22"/>
        <v>1.8724608112227297E-2</v>
      </c>
      <c r="BE102" s="138">
        <f t="shared" si="72"/>
        <v>3</v>
      </c>
      <c r="BF102" s="138">
        <f t="shared" si="77"/>
        <v>0.05</v>
      </c>
      <c r="BG102" s="137">
        <f t="shared" si="89"/>
        <v>2.8999999999999968</v>
      </c>
      <c r="BH102" s="141">
        <f t="shared" si="70"/>
        <v>1.3094483277959843E-3</v>
      </c>
      <c r="BI102" s="137">
        <f t="shared" si="90"/>
        <v>2.8999999999999968</v>
      </c>
      <c r="BJ102" s="141">
        <f t="shared" si="70"/>
        <v>7.2536414982164264E-3</v>
      </c>
    </row>
    <row r="103" spans="32:62" ht="16.5" customHeight="1">
      <c r="AL103" s="111"/>
      <c r="AM103" s="137">
        <f t="shared" si="85"/>
        <v>2.971100000000003</v>
      </c>
      <c r="AN103" s="138">
        <f t="shared" si="79"/>
        <v>1</v>
      </c>
      <c r="AO103" s="141">
        <f t="shared" si="61"/>
        <v>2.0185739073048194E-2</v>
      </c>
      <c r="AP103" s="139">
        <f t="shared" si="73"/>
        <v>44.278047770884356</v>
      </c>
      <c r="AQ103" s="137">
        <f t="shared" si="86"/>
        <v>3</v>
      </c>
      <c r="AR103" s="138">
        <f t="shared" si="80"/>
        <v>1</v>
      </c>
      <c r="AS103" s="141">
        <f t="shared" si="62"/>
        <v>2.8086912168340947E-2</v>
      </c>
      <c r="AT103" s="139">
        <f t="shared" si="74"/>
        <v>62.813902527570264</v>
      </c>
      <c r="AU103" s="137">
        <f t="shared" si="87"/>
        <v>3</v>
      </c>
      <c r="AV103" s="138">
        <f t="shared" si="81"/>
        <v>1</v>
      </c>
      <c r="AW103" s="141">
        <f t="shared" si="63"/>
        <v>0.12337246437415773</v>
      </c>
      <c r="AX103" s="139">
        <f t="shared" si="75"/>
        <v>275.9116383224063</v>
      </c>
      <c r="AY103" s="137">
        <f t="shared" si="88"/>
        <v>3</v>
      </c>
      <c r="AZ103" s="138">
        <f t="shared" si="82"/>
        <v>1</v>
      </c>
      <c r="BA103" s="141">
        <f t="shared" si="64"/>
        <v>0.18072805562221256</v>
      </c>
      <c r="BB103" s="139">
        <f t="shared" si="76"/>
        <v>404.18236087365239</v>
      </c>
      <c r="BC103" s="137">
        <f t="shared" si="15"/>
        <v>3</v>
      </c>
      <c r="BD103" s="138">
        <f t="shared" si="22"/>
        <v>1.8724608112227297E-2</v>
      </c>
      <c r="BE103" s="138">
        <f t="shared" si="72"/>
        <v>3</v>
      </c>
      <c r="BF103" s="138">
        <f t="shared" si="77"/>
        <v>0.05</v>
      </c>
      <c r="BG103" s="137">
        <f t="shared" si="89"/>
        <v>2.9499999999999966</v>
      </c>
      <c r="BH103" s="141">
        <f t="shared" si="70"/>
        <v>1.2654364190478862E-3</v>
      </c>
      <c r="BI103" s="137">
        <f t="shared" si="90"/>
        <v>2.9499999999999966</v>
      </c>
      <c r="BJ103" s="141">
        <f t="shared" si="70"/>
        <v>7.0098391266877509E-3</v>
      </c>
    </row>
    <row r="104" spans="32:62" ht="16.5" customHeight="1">
      <c r="AL104" s="111" t="s">
        <v>171</v>
      </c>
      <c r="AM104" s="137">
        <f>MAX(3,AM63)</f>
        <v>3</v>
      </c>
      <c r="AN104" s="138">
        <f t="shared" si="79"/>
        <v>1</v>
      </c>
      <c r="AO104" s="141">
        <f t="shared" si="61"/>
        <v>1.9798700425922081E-2</v>
      </c>
      <c r="AP104" s="139">
        <f t="shared" si="73"/>
        <v>44.278047770884356</v>
      </c>
      <c r="AQ104" s="137">
        <f>MAX(3,AQ63)</f>
        <v>3</v>
      </c>
      <c r="AR104" s="138">
        <f t="shared" si="80"/>
        <v>1</v>
      </c>
      <c r="AS104" s="141">
        <f t="shared" si="62"/>
        <v>2.8086912168340947E-2</v>
      </c>
      <c r="AT104" s="139">
        <f t="shared" si="74"/>
        <v>62.813902527570264</v>
      </c>
      <c r="AU104" s="137">
        <f>MAX(3,AU63)</f>
        <v>3</v>
      </c>
      <c r="AV104" s="138">
        <f t="shared" si="81"/>
        <v>1</v>
      </c>
      <c r="AW104" s="141">
        <f t="shared" si="63"/>
        <v>0.12337246437415773</v>
      </c>
      <c r="AX104" s="139">
        <f t="shared" si="75"/>
        <v>275.9116383224063</v>
      </c>
      <c r="AY104" s="137">
        <f>MAX(3,AY63)</f>
        <v>3</v>
      </c>
      <c r="AZ104" s="138">
        <f t="shared" si="82"/>
        <v>1</v>
      </c>
      <c r="BA104" s="141">
        <f t="shared" si="64"/>
        <v>0.18072805562221256</v>
      </c>
      <c r="BB104" s="139">
        <f t="shared" si="76"/>
        <v>404.18236087365239</v>
      </c>
      <c r="BC104" s="137">
        <f t="shared" si="15"/>
        <v>3</v>
      </c>
      <c r="BD104" s="138">
        <f t="shared" si="22"/>
        <v>1.8724608112227297E-2</v>
      </c>
      <c r="BE104" s="138">
        <f t="shared" si="72"/>
        <v>3</v>
      </c>
      <c r="BF104" s="138">
        <f t="shared" si="77"/>
        <v>0.05</v>
      </c>
      <c r="BG104" s="137">
        <v>3</v>
      </c>
      <c r="BH104" s="141">
        <f t="shared" si="70"/>
        <v>1.2236067151960225E-3</v>
      </c>
      <c r="BI104" s="137">
        <v>3</v>
      </c>
      <c r="BJ104" s="141">
        <f t="shared" si="70"/>
        <v>6.7781250000000003E-3</v>
      </c>
    </row>
    <row r="105" spans="32:62" ht="16.5" customHeight="1">
      <c r="AL105" s="111"/>
      <c r="AM105" s="137">
        <f>AM104+(AM$130-AM$104)/26</f>
        <v>3.1153846153846154</v>
      </c>
      <c r="AN105" s="138">
        <f t="shared" si="79"/>
        <v>1</v>
      </c>
      <c r="AO105" s="141">
        <f t="shared" si="61"/>
        <v>1.8359288735148596E-2</v>
      </c>
      <c r="AP105" s="139">
        <f t="shared" si="73"/>
        <v>44.278047770884356</v>
      </c>
      <c r="AQ105" s="137">
        <f>AQ104+(AQ$130-AQ$104)/26</f>
        <v>3.1153846153846154</v>
      </c>
      <c r="AR105" s="138">
        <f t="shared" si="80"/>
        <v>1</v>
      </c>
      <c r="AS105" s="141">
        <f t="shared" si="62"/>
        <v>2.6044928156102168E-2</v>
      </c>
      <c r="AT105" s="139">
        <f t="shared" si="74"/>
        <v>62.813902527570278</v>
      </c>
      <c r="AU105" s="137">
        <f>AU104+(AU$130-AU$104)/26</f>
        <v>3.1153846153846154</v>
      </c>
      <c r="AV105" s="138">
        <f t="shared" si="81"/>
        <v>1</v>
      </c>
      <c r="AW105" s="141">
        <f t="shared" si="63"/>
        <v>0.11440299851430813</v>
      </c>
      <c r="AX105" s="139">
        <f t="shared" si="75"/>
        <v>275.9116383224063</v>
      </c>
      <c r="AY105" s="137">
        <f>AY104+(AY$130-AY$104)/26</f>
        <v>3.1153846153846154</v>
      </c>
      <c r="AZ105" s="138">
        <f t="shared" si="82"/>
        <v>1</v>
      </c>
      <c r="BA105" s="141">
        <f t="shared" si="64"/>
        <v>0.16758870452759356</v>
      </c>
      <c r="BB105" s="139">
        <f t="shared" si="76"/>
        <v>404.18236087365244</v>
      </c>
      <c r="BC105" s="137">
        <f t="shared" si="15"/>
        <v>3.1153846153846154</v>
      </c>
      <c r="BD105" s="138">
        <f t="shared" si="22"/>
        <v>1.7363285437401444E-2</v>
      </c>
      <c r="BE105" s="138">
        <f t="shared" si="72"/>
        <v>3.1153846153846154</v>
      </c>
      <c r="BF105" s="138">
        <f t="shared" si="77"/>
        <v>0.05</v>
      </c>
      <c r="BG105" s="137"/>
      <c r="BH105" s="138"/>
      <c r="BI105" s="137"/>
      <c r="BJ105" s="138"/>
    </row>
    <row r="106" spans="32:62" ht="16.5" customHeight="1">
      <c r="AM106" s="137">
        <f t="shared" ref="AM106:AM129" si="91">AM105+(AM$130-AM$104)/26</f>
        <v>3.2307692307692308</v>
      </c>
      <c r="AN106" s="138">
        <f t="shared" si="79"/>
        <v>1</v>
      </c>
      <c r="AO106" s="141">
        <f t="shared" si="61"/>
        <v>1.7071328428473628E-2</v>
      </c>
      <c r="AP106" s="139">
        <f t="shared" si="73"/>
        <v>44.278047770884356</v>
      </c>
      <c r="AQ106" s="137">
        <f t="shared" ref="AQ106:AQ129" si="92">AQ105+(AQ$130-AQ$104)/26</f>
        <v>3.2307692307692308</v>
      </c>
      <c r="AR106" s="138">
        <f t="shared" si="80"/>
        <v>1</v>
      </c>
      <c r="AS106" s="141">
        <f t="shared" si="62"/>
        <v>2.4217796716579691E-2</v>
      </c>
      <c r="AT106" s="139">
        <f t="shared" si="74"/>
        <v>62.813902527570278</v>
      </c>
      <c r="AU106" s="137">
        <f t="shared" ref="AU106:AU129" si="93">AU105+(AU$130-AU$104)/26</f>
        <v>3.2307692307692308</v>
      </c>
      <c r="AV106" s="138">
        <f t="shared" si="81"/>
        <v>1</v>
      </c>
      <c r="AW106" s="141">
        <f t="shared" si="63"/>
        <v>0.10637727795526865</v>
      </c>
      <c r="AX106" s="139">
        <f t="shared" si="75"/>
        <v>275.9116383224063</v>
      </c>
      <c r="AY106" s="137">
        <f t="shared" ref="AY106:AY129" si="94">AY105+(AY$130-AY$104)/26</f>
        <v>3.2307692307692308</v>
      </c>
      <c r="AZ106" s="138">
        <f t="shared" si="82"/>
        <v>1</v>
      </c>
      <c r="BA106" s="141">
        <f t="shared" si="64"/>
        <v>0.15583184387833632</v>
      </c>
      <c r="BB106" s="139">
        <f t="shared" si="76"/>
        <v>404.18236087365239</v>
      </c>
      <c r="BC106" s="137">
        <f t="shared" si="15"/>
        <v>3.2307692307692308</v>
      </c>
      <c r="BD106" s="138">
        <f t="shared" si="22"/>
        <v>1.6145197811053127E-2</v>
      </c>
      <c r="BE106" s="138">
        <f t="shared" si="72"/>
        <v>3.2307692307692308</v>
      </c>
      <c r="BF106" s="138">
        <f t="shared" si="77"/>
        <v>0.05</v>
      </c>
      <c r="BG106" s="137"/>
      <c r="BH106" s="138"/>
      <c r="BI106" s="137"/>
      <c r="BJ106" s="138"/>
    </row>
    <row r="107" spans="32:62" ht="16.5" customHeight="1">
      <c r="AL107" s="111"/>
      <c r="AM107" s="137">
        <f t="shared" si="91"/>
        <v>3.3461538461538463</v>
      </c>
      <c r="AN107" s="138">
        <f t="shared" si="79"/>
        <v>1</v>
      </c>
      <c r="AO107" s="141">
        <f t="shared" si="61"/>
        <v>1.591429427814902E-2</v>
      </c>
      <c r="AP107" s="139">
        <f t="shared" si="73"/>
        <v>44.27804777088437</v>
      </c>
      <c r="AQ107" s="137">
        <f t="shared" si="92"/>
        <v>3.3461538461538463</v>
      </c>
      <c r="AR107" s="138">
        <f t="shared" si="80"/>
        <v>1</v>
      </c>
      <c r="AS107" s="141">
        <f t="shared" si="62"/>
        <v>2.2576400268488082E-2</v>
      </c>
      <c r="AT107" s="139">
        <f t="shared" si="74"/>
        <v>62.813902527570278</v>
      </c>
      <c r="AU107" s="137">
        <f t="shared" si="93"/>
        <v>3.3461538461538463</v>
      </c>
      <c r="AV107" s="138">
        <f t="shared" si="81"/>
        <v>1</v>
      </c>
      <c r="AW107" s="141">
        <f t="shared" si="63"/>
        <v>9.9167402992783135E-2</v>
      </c>
      <c r="AX107" s="139">
        <f t="shared" si="75"/>
        <v>275.9116383224063</v>
      </c>
      <c r="AY107" s="137">
        <f t="shared" si="94"/>
        <v>3.3461538461538463</v>
      </c>
      <c r="AZ107" s="138">
        <f t="shared" si="82"/>
        <v>1</v>
      </c>
      <c r="BA107" s="141">
        <f t="shared" si="64"/>
        <v>0.14527011367492945</v>
      </c>
      <c r="BB107" s="139">
        <f t="shared" si="76"/>
        <v>404.18236087365239</v>
      </c>
      <c r="BC107" s="137">
        <f t="shared" si="15"/>
        <v>3.3461538461538463</v>
      </c>
      <c r="BD107" s="138">
        <f t="shared" si="22"/>
        <v>1.5050933512325388E-2</v>
      </c>
      <c r="BE107" s="138">
        <f t="shared" si="72"/>
        <v>3.3461538461538463</v>
      </c>
      <c r="BF107" s="138">
        <f t="shared" si="77"/>
        <v>0.05</v>
      </c>
      <c r="BG107" s="137"/>
      <c r="BH107" s="138"/>
      <c r="BI107" s="137"/>
      <c r="BJ107" s="138"/>
    </row>
    <row r="108" spans="32:62" ht="16.5" customHeight="1">
      <c r="AF108" s="133"/>
      <c r="AL108" s="111"/>
      <c r="AM108" s="137">
        <f t="shared" si="91"/>
        <v>3.4615384615384617</v>
      </c>
      <c r="AN108" s="138">
        <f t="shared" si="79"/>
        <v>1</v>
      </c>
      <c r="AO108" s="141">
        <f t="shared" si="61"/>
        <v>1.4871023875470362E-2</v>
      </c>
      <c r="AP108" s="139">
        <f t="shared" si="73"/>
        <v>44.278047770884356</v>
      </c>
      <c r="AQ108" s="137">
        <f t="shared" si="92"/>
        <v>3.4615384615384617</v>
      </c>
      <c r="AR108" s="138">
        <f t="shared" si="80"/>
        <v>1</v>
      </c>
      <c r="AS108" s="141">
        <f t="shared" si="62"/>
        <v>2.1096391806442755E-2</v>
      </c>
      <c r="AT108" s="139">
        <f t="shared" si="74"/>
        <v>62.813902527570278</v>
      </c>
      <c r="AU108" s="137">
        <f t="shared" si="93"/>
        <v>3.4615384615384617</v>
      </c>
      <c r="AV108" s="138">
        <f t="shared" si="81"/>
        <v>1</v>
      </c>
      <c r="AW108" s="141">
        <f t="shared" si="63"/>
        <v>9.2666428796589581E-2</v>
      </c>
      <c r="AX108" s="139">
        <f t="shared" si="75"/>
        <v>275.9116383224063</v>
      </c>
      <c r="AY108" s="137">
        <f t="shared" si="94"/>
        <v>3.4615384615384617</v>
      </c>
      <c r="AZ108" s="138">
        <f t="shared" si="82"/>
        <v>1</v>
      </c>
      <c r="BA108" s="141">
        <f t="shared" si="64"/>
        <v>0.13574685066735076</v>
      </c>
      <c r="BB108" s="139">
        <f t="shared" si="76"/>
        <v>404.18236087365239</v>
      </c>
      <c r="BC108" s="137">
        <f t="shared" si="15"/>
        <v>3.4615384615384617</v>
      </c>
      <c r="BD108" s="138">
        <f t="shared" si="22"/>
        <v>1.4064261204295171E-2</v>
      </c>
      <c r="BE108" s="138">
        <f t="shared" si="72"/>
        <v>3.4615384615384617</v>
      </c>
      <c r="BF108" s="138">
        <f t="shared" si="77"/>
        <v>0.05</v>
      </c>
      <c r="BG108" s="137"/>
      <c r="BH108" s="138"/>
      <c r="BI108" s="137"/>
      <c r="BJ108" s="138"/>
    </row>
    <row r="109" spans="32:62" ht="16.5" customHeight="1">
      <c r="AL109" s="111"/>
      <c r="AM109" s="137">
        <f t="shared" si="91"/>
        <v>3.5769230769230771</v>
      </c>
      <c r="AN109" s="138">
        <f t="shared" si="79"/>
        <v>1</v>
      </c>
      <c r="AO109" s="141">
        <f t="shared" si="61"/>
        <v>1.3927077510846332E-2</v>
      </c>
      <c r="AP109" s="139">
        <f t="shared" si="73"/>
        <v>44.278047770884356</v>
      </c>
      <c r="AQ109" s="137">
        <f t="shared" si="92"/>
        <v>3.5769230769230771</v>
      </c>
      <c r="AR109" s="138">
        <f t="shared" si="80"/>
        <v>1</v>
      </c>
      <c r="AS109" s="141">
        <f t="shared" si="62"/>
        <v>1.9757286811444827E-2</v>
      </c>
      <c r="AT109" s="139">
        <f t="shared" si="74"/>
        <v>62.813902527570278</v>
      </c>
      <c r="AU109" s="137">
        <f t="shared" si="93"/>
        <v>3.5769230769230771</v>
      </c>
      <c r="AV109" s="138">
        <f t="shared" si="81"/>
        <v>1</v>
      </c>
      <c r="AW109" s="141">
        <f t="shared" si="63"/>
        <v>8.6784376604506358E-2</v>
      </c>
      <c r="AX109" s="139">
        <f t="shared" si="75"/>
        <v>275.9116383224063</v>
      </c>
      <c r="AY109" s="137">
        <f t="shared" si="94"/>
        <v>3.5769230769230771</v>
      </c>
      <c r="AZ109" s="138">
        <f t="shared" si="82"/>
        <v>1</v>
      </c>
      <c r="BA109" s="141">
        <f t="shared" si="64"/>
        <v>0.12713024516193097</v>
      </c>
      <c r="BB109" s="139">
        <f t="shared" si="76"/>
        <v>404.18236087365233</v>
      </c>
      <c r="BC109" s="137">
        <f t="shared" si="15"/>
        <v>3.5769230769230771</v>
      </c>
      <c r="BD109" s="138">
        <f t="shared" si="22"/>
        <v>1.3171524540963217E-2</v>
      </c>
      <c r="BE109" s="138">
        <f t="shared" si="72"/>
        <v>3.5769230769230771</v>
      </c>
      <c r="BF109" s="138">
        <f t="shared" si="77"/>
        <v>0.05</v>
      </c>
      <c r="BG109" s="137"/>
      <c r="BH109" s="138"/>
      <c r="BI109" s="137"/>
      <c r="BJ109" s="138"/>
    </row>
    <row r="110" spans="32:62" ht="16.5" customHeight="1">
      <c r="AL110" s="111"/>
      <c r="AM110" s="137">
        <f t="shared" si="91"/>
        <v>3.6923076923076925</v>
      </c>
      <c r="AN110" s="138">
        <f t="shared" si="79"/>
        <v>1</v>
      </c>
      <c r="AO110" s="141">
        <f t="shared" si="61"/>
        <v>1.3070235828050121E-2</v>
      </c>
      <c r="AP110" s="139">
        <f t="shared" si="73"/>
        <v>44.278047770884356</v>
      </c>
      <c r="AQ110" s="137">
        <f t="shared" si="92"/>
        <v>3.6923076923076925</v>
      </c>
      <c r="AR110" s="138">
        <f t="shared" si="80"/>
        <v>1</v>
      </c>
      <c r="AS110" s="141">
        <f t="shared" si="62"/>
        <v>1.8541750611131325E-2</v>
      </c>
      <c r="AT110" s="139">
        <f t="shared" si="74"/>
        <v>62.813902527570278</v>
      </c>
      <c r="AU110" s="137">
        <f t="shared" si="93"/>
        <v>3.6923076923076925</v>
      </c>
      <c r="AV110" s="138">
        <f t="shared" si="81"/>
        <v>1</v>
      </c>
      <c r="AW110" s="141">
        <f t="shared" si="63"/>
        <v>8.144510343450255E-2</v>
      </c>
      <c r="AX110" s="139">
        <f t="shared" si="75"/>
        <v>275.9116383224063</v>
      </c>
      <c r="AY110" s="137">
        <f t="shared" si="94"/>
        <v>3.6923076923076925</v>
      </c>
      <c r="AZ110" s="138">
        <f t="shared" si="82"/>
        <v>1</v>
      </c>
      <c r="BA110" s="141">
        <f t="shared" si="64"/>
        <v>0.11930875546935124</v>
      </c>
      <c r="BB110" s="139">
        <f t="shared" si="76"/>
        <v>404.18236087365244</v>
      </c>
      <c r="BC110" s="137">
        <f t="shared" si="15"/>
        <v>3.6923076923076925</v>
      </c>
      <c r="BD110" s="138">
        <f t="shared" si="22"/>
        <v>1.236116707408755E-2</v>
      </c>
      <c r="BE110" s="138">
        <f t="shared" si="72"/>
        <v>3.6923076923076925</v>
      </c>
      <c r="BF110" s="138">
        <f t="shared" si="77"/>
        <v>0.05</v>
      </c>
      <c r="BG110" s="137"/>
      <c r="BH110" s="138"/>
      <c r="BI110" s="137"/>
      <c r="BJ110" s="138"/>
    </row>
    <row r="111" spans="32:62" ht="16.5" customHeight="1">
      <c r="AL111" s="111"/>
      <c r="AM111" s="137">
        <f t="shared" si="91"/>
        <v>3.8076923076923079</v>
      </c>
      <c r="AN111" s="138">
        <f t="shared" si="79"/>
        <v>1</v>
      </c>
      <c r="AO111" s="141">
        <f t="shared" si="61"/>
        <v>1.2290102376421787E-2</v>
      </c>
      <c r="AP111" s="139">
        <f t="shared" si="73"/>
        <v>44.278047770884363</v>
      </c>
      <c r="AQ111" s="137">
        <f t="shared" si="92"/>
        <v>3.8076923076923079</v>
      </c>
      <c r="AR111" s="138">
        <f t="shared" si="80"/>
        <v>1</v>
      </c>
      <c r="AS111" s="141">
        <f t="shared" si="62"/>
        <v>1.7435034550779136E-2</v>
      </c>
      <c r="AT111" s="139">
        <f t="shared" si="74"/>
        <v>62.813902527570278</v>
      </c>
      <c r="AU111" s="137">
        <f t="shared" si="93"/>
        <v>3.8076923076923079</v>
      </c>
      <c r="AV111" s="138">
        <f t="shared" si="81"/>
        <v>1</v>
      </c>
      <c r="AW111" s="141">
        <f t="shared" si="63"/>
        <v>7.6583825451726928E-2</v>
      </c>
      <c r="AX111" s="139">
        <f t="shared" si="75"/>
        <v>275.91163832240636</v>
      </c>
      <c r="AY111" s="137">
        <f t="shared" si="94"/>
        <v>3.8076923076923079</v>
      </c>
      <c r="AZ111" s="138">
        <f t="shared" si="82"/>
        <v>1</v>
      </c>
      <c r="BA111" s="141">
        <f t="shared" si="64"/>
        <v>0.11218747989037252</v>
      </c>
      <c r="BB111" s="139">
        <f t="shared" si="76"/>
        <v>404.18236087365239</v>
      </c>
      <c r="BC111" s="137">
        <f t="shared" si="15"/>
        <v>3.8076923076923079</v>
      </c>
      <c r="BD111" s="138">
        <f t="shared" si="22"/>
        <v>1.162335636718609E-2</v>
      </c>
      <c r="BE111" s="138">
        <f t="shared" si="72"/>
        <v>3.8076923076923079</v>
      </c>
      <c r="BF111" s="138">
        <f t="shared" si="77"/>
        <v>0.05</v>
      </c>
      <c r="BG111" s="137"/>
      <c r="BH111" s="138"/>
      <c r="BI111" s="137"/>
      <c r="BJ111" s="138"/>
    </row>
    <row r="112" spans="32:62" ht="16.5" customHeight="1">
      <c r="AL112" s="111"/>
      <c r="AM112" s="137">
        <f t="shared" si="91"/>
        <v>3.9230769230769234</v>
      </c>
      <c r="AN112" s="138">
        <f t="shared" si="79"/>
        <v>1</v>
      </c>
      <c r="AO112" s="141">
        <f t="shared" si="61"/>
        <v>1.1577786754258931E-2</v>
      </c>
      <c r="AP112" s="139">
        <f t="shared" si="73"/>
        <v>44.278047770884356</v>
      </c>
      <c r="AQ112" s="137">
        <f t="shared" si="92"/>
        <v>3.9230769230769234</v>
      </c>
      <c r="AR112" s="138">
        <f t="shared" si="80"/>
        <v>1</v>
      </c>
      <c r="AS112" s="141">
        <f t="shared" si="62"/>
        <v>1.6424526492905257E-2</v>
      </c>
      <c r="AT112" s="139">
        <f t="shared" si="74"/>
        <v>62.813902527570264</v>
      </c>
      <c r="AU112" s="137">
        <f t="shared" si="93"/>
        <v>3.9230769230769234</v>
      </c>
      <c r="AV112" s="138">
        <f t="shared" si="81"/>
        <v>1</v>
      </c>
      <c r="AW112" s="141">
        <f t="shared" si="63"/>
        <v>7.2145143526756592E-2</v>
      </c>
      <c r="AX112" s="139">
        <f t="shared" si="75"/>
        <v>275.9116383224063</v>
      </c>
      <c r="AY112" s="137">
        <f t="shared" si="94"/>
        <v>3.9230769230769234</v>
      </c>
      <c r="AZ112" s="138">
        <f t="shared" si="82"/>
        <v>1</v>
      </c>
      <c r="BA112" s="141">
        <f t="shared" si="64"/>
        <v>0.10568526436039419</v>
      </c>
      <c r="BB112" s="139">
        <f t="shared" si="76"/>
        <v>404.18236087365244</v>
      </c>
      <c r="BC112" s="137">
        <f t="shared" si="15"/>
        <v>3.9230769230769234</v>
      </c>
      <c r="BD112" s="138">
        <f t="shared" si="22"/>
        <v>1.0949684328603505E-2</v>
      </c>
      <c r="BE112" s="138">
        <f t="shared" si="72"/>
        <v>3.9230769230769234</v>
      </c>
      <c r="BF112" s="138">
        <f t="shared" si="77"/>
        <v>0.05</v>
      </c>
      <c r="BG112" s="137"/>
      <c r="BH112" s="138"/>
      <c r="BI112" s="137"/>
      <c r="BJ112" s="138"/>
    </row>
    <row r="113" spans="37:62" ht="16.5" customHeight="1">
      <c r="AL113" s="111"/>
      <c r="AM113" s="137">
        <f t="shared" si="91"/>
        <v>4.0384615384615383</v>
      </c>
      <c r="AN113" s="138">
        <f t="shared" si="79"/>
        <v>1</v>
      </c>
      <c r="AO113" s="141">
        <f t="shared" si="61"/>
        <v>1.0925650194223124E-2</v>
      </c>
      <c r="AP113" s="139">
        <f t="shared" si="73"/>
        <v>44.278047770884356</v>
      </c>
      <c r="AQ113" s="137">
        <f t="shared" si="92"/>
        <v>4.0384615384615383</v>
      </c>
      <c r="AR113" s="138">
        <f t="shared" si="80"/>
        <v>1</v>
      </c>
      <c r="AS113" s="141">
        <f t="shared" si="62"/>
        <v>1.5499389898611006E-2</v>
      </c>
      <c r="AT113" s="139">
        <f t="shared" si="74"/>
        <v>62.813902527570278</v>
      </c>
      <c r="AU113" s="137">
        <f t="shared" si="93"/>
        <v>4.0384615384615383</v>
      </c>
      <c r="AV113" s="138">
        <f t="shared" si="81"/>
        <v>1</v>
      </c>
      <c r="AW113" s="141">
        <f t="shared" si="63"/>
        <v>6.8081457891371946E-2</v>
      </c>
      <c r="AX113" s="139">
        <f t="shared" si="75"/>
        <v>275.9116383224063</v>
      </c>
      <c r="AY113" s="137">
        <f t="shared" si="94"/>
        <v>4.0384615384615383</v>
      </c>
      <c r="AZ113" s="138">
        <f t="shared" si="82"/>
        <v>1</v>
      </c>
      <c r="BA113" s="141">
        <f t="shared" si="64"/>
        <v>9.9732380082135266E-2</v>
      </c>
      <c r="BB113" s="139">
        <f t="shared" si="76"/>
        <v>404.18236087365239</v>
      </c>
      <c r="BC113" s="137">
        <f t="shared" si="15"/>
        <v>4.0384615384615383</v>
      </c>
      <c r="BD113" s="138">
        <f t="shared" si="22"/>
        <v>1.0332926599074003E-2</v>
      </c>
      <c r="BE113" s="138">
        <f t="shared" si="72"/>
        <v>4.0384615384615383</v>
      </c>
      <c r="BF113" s="138">
        <f t="shared" si="77"/>
        <v>0.05</v>
      </c>
      <c r="BG113" s="137"/>
      <c r="BH113" s="138"/>
      <c r="BI113" s="137"/>
      <c r="BJ113" s="138"/>
    </row>
    <row r="114" spans="37:62" ht="16.5" customHeight="1">
      <c r="AL114" s="111"/>
      <c r="AM114" s="137">
        <f t="shared" si="91"/>
        <v>4.1538461538461533</v>
      </c>
      <c r="AN114" s="138">
        <f t="shared" si="79"/>
        <v>1</v>
      </c>
      <c r="AO114" s="141">
        <f t="shared" si="61"/>
        <v>1.0327099913521088E-2</v>
      </c>
      <c r="AP114" s="139">
        <f t="shared" si="73"/>
        <v>44.278047770884356</v>
      </c>
      <c r="AQ114" s="137">
        <f t="shared" si="92"/>
        <v>4.1538461538461533</v>
      </c>
      <c r="AR114" s="138">
        <f t="shared" si="80"/>
        <v>1</v>
      </c>
      <c r="AS114" s="141">
        <f t="shared" si="62"/>
        <v>1.4650272087807472E-2</v>
      </c>
      <c r="AT114" s="139">
        <f t="shared" si="74"/>
        <v>62.813902527570278</v>
      </c>
      <c r="AU114" s="137">
        <f t="shared" si="93"/>
        <v>4.1538461538461533</v>
      </c>
      <c r="AV114" s="138">
        <f t="shared" si="81"/>
        <v>1</v>
      </c>
      <c r="AW114" s="141">
        <f t="shared" si="63"/>
        <v>6.435168666429833E-2</v>
      </c>
      <c r="AX114" s="139">
        <f t="shared" si="75"/>
        <v>275.9116383224063</v>
      </c>
      <c r="AY114" s="137">
        <f t="shared" si="94"/>
        <v>4.1538461538461533</v>
      </c>
      <c r="AZ114" s="138">
        <f t="shared" si="82"/>
        <v>1</v>
      </c>
      <c r="BA114" s="141">
        <f t="shared" si="64"/>
        <v>9.4268646296771383E-2</v>
      </c>
      <c r="BB114" s="139">
        <f t="shared" si="76"/>
        <v>404.18236087365239</v>
      </c>
      <c r="BC114" s="137">
        <f t="shared" si="15"/>
        <v>4.1538461538461533</v>
      </c>
      <c r="BD114" s="138">
        <f t="shared" si="22"/>
        <v>9.7668480585383147E-3</v>
      </c>
      <c r="BE114" s="138">
        <f t="shared" si="72"/>
        <v>4.1538461538461533</v>
      </c>
      <c r="BF114" s="138">
        <f t="shared" si="77"/>
        <v>0.05</v>
      </c>
      <c r="BG114" s="137"/>
      <c r="BH114" s="138"/>
      <c r="BI114" s="137"/>
      <c r="BJ114" s="138"/>
    </row>
    <row r="115" spans="37:62" ht="16.5" customHeight="1">
      <c r="AL115" s="111"/>
      <c r="AM115" s="137">
        <f t="shared" si="91"/>
        <v>4.2692307692307683</v>
      </c>
      <c r="AN115" s="138">
        <f t="shared" si="79"/>
        <v>1</v>
      </c>
      <c r="AO115" s="141">
        <f t="shared" si="61"/>
        <v>9.7764218319381542E-3</v>
      </c>
      <c r="AP115" s="139">
        <f t="shared" si="73"/>
        <v>44.278047770884363</v>
      </c>
      <c r="AQ115" s="137">
        <f t="shared" si="92"/>
        <v>4.2692307692307683</v>
      </c>
      <c r="AR115" s="138">
        <f t="shared" si="80"/>
        <v>1</v>
      </c>
      <c r="AS115" s="141">
        <f t="shared" si="62"/>
        <v>1.3869066928998166E-2</v>
      </c>
      <c r="AT115" s="139">
        <f t="shared" si="74"/>
        <v>62.813902527570278</v>
      </c>
      <c r="AU115" s="137">
        <f t="shared" si="93"/>
        <v>4.2692307692307683</v>
      </c>
      <c r="AV115" s="138">
        <f t="shared" si="81"/>
        <v>1</v>
      </c>
      <c r="AW115" s="141">
        <f t="shared" si="63"/>
        <v>6.0920223460139269E-2</v>
      </c>
      <c r="AX115" s="139">
        <f t="shared" si="75"/>
        <v>275.9116383224063</v>
      </c>
      <c r="AY115" s="137">
        <f t="shared" si="94"/>
        <v>4.2692307692307683</v>
      </c>
      <c r="AZ115" s="138">
        <f t="shared" si="82"/>
        <v>1</v>
      </c>
      <c r="BA115" s="141">
        <f t="shared" si="64"/>
        <v>8.924190328752063E-2</v>
      </c>
      <c r="BB115" s="139">
        <f t="shared" si="76"/>
        <v>404.18236087365239</v>
      </c>
      <c r="BC115" s="137">
        <f t="shared" si="15"/>
        <v>4.2692307692307683</v>
      </c>
      <c r="BD115" s="138">
        <f t="shared" si="22"/>
        <v>9.24604461933211E-3</v>
      </c>
      <c r="BE115" s="138">
        <f t="shared" si="72"/>
        <v>4.2692307692307683</v>
      </c>
      <c r="BF115" s="138">
        <f t="shared" si="77"/>
        <v>0.05</v>
      </c>
      <c r="BG115" s="137"/>
      <c r="BH115" s="138"/>
      <c r="BI115" s="137"/>
      <c r="BJ115" s="138"/>
    </row>
    <row r="116" spans="37:62" ht="16.5" customHeight="1">
      <c r="AL116" s="111"/>
      <c r="AM116" s="137">
        <f t="shared" si="91"/>
        <v>4.3846153846153832</v>
      </c>
      <c r="AN116" s="138">
        <f t="shared" si="79"/>
        <v>1</v>
      </c>
      <c r="AO116" s="141">
        <f t="shared" si="61"/>
        <v>9.2686436896976011E-3</v>
      </c>
      <c r="AP116" s="139">
        <f t="shared" si="73"/>
        <v>44.278047770884363</v>
      </c>
      <c r="AQ116" s="137">
        <f t="shared" si="92"/>
        <v>4.3846153846153832</v>
      </c>
      <c r="AR116" s="138">
        <f t="shared" si="80"/>
        <v>1</v>
      </c>
      <c r="AS116" s="141">
        <f t="shared" si="62"/>
        <v>1.3148720654985105E-2</v>
      </c>
      <c r="AT116" s="139">
        <f t="shared" si="74"/>
        <v>62.813902527570278</v>
      </c>
      <c r="AU116" s="137">
        <f t="shared" si="93"/>
        <v>4.3846153846153832</v>
      </c>
      <c r="AV116" s="138">
        <f t="shared" si="81"/>
        <v>1</v>
      </c>
      <c r="AW116" s="141">
        <f t="shared" si="63"/>
        <v>5.7756084430007397E-2</v>
      </c>
      <c r="AX116" s="139">
        <f t="shared" si="75"/>
        <v>275.9116383224063</v>
      </c>
      <c r="AY116" s="137">
        <f t="shared" si="94"/>
        <v>4.3846153846153832</v>
      </c>
      <c r="AZ116" s="138">
        <f t="shared" si="82"/>
        <v>1</v>
      </c>
      <c r="BA116" s="141">
        <f t="shared" si="64"/>
        <v>8.4606762881312858E-2</v>
      </c>
      <c r="BB116" s="139">
        <f t="shared" si="76"/>
        <v>404.18236087365244</v>
      </c>
      <c r="BC116" s="137">
        <f t="shared" si="15"/>
        <v>4.3846153846153832</v>
      </c>
      <c r="BD116" s="138">
        <f t="shared" si="22"/>
        <v>8.7658137699900707E-3</v>
      </c>
      <c r="BE116" s="138">
        <f t="shared" si="72"/>
        <v>4.3846153846153832</v>
      </c>
      <c r="BF116" s="138">
        <f t="shared" si="77"/>
        <v>0.05</v>
      </c>
      <c r="BG116" s="137"/>
      <c r="BH116" s="138"/>
      <c r="BI116" s="137"/>
      <c r="BJ116" s="138"/>
    </row>
    <row r="117" spans="37:62" ht="16.5" customHeight="1">
      <c r="AL117" s="111"/>
      <c r="AM117" s="137">
        <f t="shared" si="91"/>
        <v>4.4999999999999982</v>
      </c>
      <c r="AN117" s="138">
        <f t="shared" si="79"/>
        <v>1</v>
      </c>
      <c r="AO117" s="141">
        <f t="shared" si="61"/>
        <v>8.7994224115209314E-3</v>
      </c>
      <c r="AP117" s="139">
        <f t="shared" si="73"/>
        <v>44.278047770884363</v>
      </c>
      <c r="AQ117" s="137">
        <f t="shared" si="92"/>
        <v>4.4999999999999982</v>
      </c>
      <c r="AR117" s="138">
        <f t="shared" si="80"/>
        <v>1</v>
      </c>
      <c r="AS117" s="141">
        <f t="shared" si="62"/>
        <v>1.2483072074818207E-2</v>
      </c>
      <c r="AT117" s="139">
        <f t="shared" si="74"/>
        <v>62.813902527570278</v>
      </c>
      <c r="AU117" s="137">
        <f t="shared" si="93"/>
        <v>4.4999999999999982</v>
      </c>
      <c r="AV117" s="138">
        <f t="shared" si="81"/>
        <v>1</v>
      </c>
      <c r="AW117" s="141">
        <f t="shared" si="63"/>
        <v>5.4832206388514583E-2</v>
      </c>
      <c r="AX117" s="139">
        <f t="shared" si="75"/>
        <v>275.9116383224063</v>
      </c>
      <c r="AY117" s="137">
        <f t="shared" si="94"/>
        <v>4.4999999999999982</v>
      </c>
      <c r="AZ117" s="138">
        <f t="shared" si="82"/>
        <v>1</v>
      </c>
      <c r="BA117" s="141">
        <f t="shared" si="64"/>
        <v>8.0323580276538978E-2</v>
      </c>
      <c r="BB117" s="139">
        <f t="shared" si="76"/>
        <v>404.18236087365239</v>
      </c>
      <c r="BC117" s="137">
        <f t="shared" ref="BC117:BC140" si="95">AQ117</f>
        <v>4.4999999999999982</v>
      </c>
      <c r="BD117" s="138">
        <f t="shared" si="22"/>
        <v>8.3220480498788045E-3</v>
      </c>
      <c r="BE117" s="138">
        <f t="shared" si="72"/>
        <v>4.4999999999999982</v>
      </c>
      <c r="BF117" s="138">
        <f t="shared" si="77"/>
        <v>0.05</v>
      </c>
      <c r="BG117" s="137"/>
      <c r="BH117" s="138"/>
      <c r="BI117" s="137"/>
      <c r="BJ117" s="138"/>
    </row>
    <row r="118" spans="37:62" ht="16.5" customHeight="1">
      <c r="AL118" s="111"/>
      <c r="AM118" s="137">
        <f t="shared" si="91"/>
        <v>4.6153846153846132</v>
      </c>
      <c r="AN118" s="138">
        <f t="shared" si="79"/>
        <v>1</v>
      </c>
      <c r="AO118" s="141">
        <f t="shared" si="61"/>
        <v>8.364950929952087E-3</v>
      </c>
      <c r="AP118" s="139">
        <f t="shared" si="73"/>
        <v>44.278047770884363</v>
      </c>
      <c r="AQ118" s="137">
        <f t="shared" si="92"/>
        <v>4.6153846153846132</v>
      </c>
      <c r="AR118" s="138">
        <f t="shared" si="80"/>
        <v>1</v>
      </c>
      <c r="AS118" s="141">
        <f t="shared" si="62"/>
        <v>1.1866720391124061E-2</v>
      </c>
      <c r="AT118" s="139">
        <f t="shared" si="74"/>
        <v>62.813902527570278</v>
      </c>
      <c r="AU118" s="137">
        <f t="shared" si="93"/>
        <v>4.6153846153846132</v>
      </c>
      <c r="AV118" s="138">
        <f t="shared" si="81"/>
        <v>1</v>
      </c>
      <c r="AW118" s="141">
        <f t="shared" si="63"/>
        <v>5.2124866198081689E-2</v>
      </c>
      <c r="AX118" s="139">
        <f t="shared" si="75"/>
        <v>275.9116383224063</v>
      </c>
      <c r="AY118" s="137">
        <f t="shared" si="94"/>
        <v>4.6153846153846132</v>
      </c>
      <c r="AZ118" s="138">
        <f t="shared" si="82"/>
        <v>1</v>
      </c>
      <c r="BA118" s="141">
        <f t="shared" si="64"/>
        <v>7.6357603500384882E-2</v>
      </c>
      <c r="BB118" s="139">
        <f t="shared" si="76"/>
        <v>404.18236087365244</v>
      </c>
      <c r="BC118" s="137">
        <f t="shared" si="95"/>
        <v>4.6153846153846132</v>
      </c>
      <c r="BD118" s="138">
        <f t="shared" si="22"/>
        <v>7.9111469274160406E-3</v>
      </c>
      <c r="BE118" s="138">
        <f t="shared" si="72"/>
        <v>4.6153846153846132</v>
      </c>
      <c r="BF118" s="138">
        <f t="shared" si="77"/>
        <v>0.05</v>
      </c>
      <c r="BG118" s="137"/>
      <c r="BH118" s="138"/>
      <c r="BI118" s="137"/>
      <c r="BJ118" s="138"/>
    </row>
    <row r="119" spans="37:62" ht="16.5" customHeight="1">
      <c r="AL119" s="111"/>
      <c r="AM119" s="137">
        <f t="shared" si="91"/>
        <v>4.7307692307692282</v>
      </c>
      <c r="AN119" s="138">
        <f t="shared" si="79"/>
        <v>1</v>
      </c>
      <c r="AO119" s="141">
        <f t="shared" si="61"/>
        <v>7.9618807185742654E-3</v>
      </c>
      <c r="AP119" s="139">
        <f t="shared" si="73"/>
        <v>44.278047770884356</v>
      </c>
      <c r="AQ119" s="137">
        <f t="shared" si="92"/>
        <v>4.7307692307692282</v>
      </c>
      <c r="AR119" s="138">
        <f t="shared" si="80"/>
        <v>1</v>
      </c>
      <c r="AS119" s="141">
        <f t="shared" si="62"/>
        <v>1.1294915303865853E-2</v>
      </c>
      <c r="AT119" s="139">
        <f t="shared" si="74"/>
        <v>62.813902527570278</v>
      </c>
      <c r="AU119" s="137">
        <f t="shared" si="93"/>
        <v>4.7307692307692282</v>
      </c>
      <c r="AV119" s="138">
        <f t="shared" si="81"/>
        <v>1</v>
      </c>
      <c r="AW119" s="141">
        <f t="shared" si="63"/>
        <v>4.9613198046954618E-2</v>
      </c>
      <c r="AX119" s="139">
        <f t="shared" si="75"/>
        <v>275.9116383224063</v>
      </c>
      <c r="AY119" s="137">
        <f t="shared" si="94"/>
        <v>4.7307692307692282</v>
      </c>
      <c r="AZ119" s="138">
        <f t="shared" si="82"/>
        <v>1</v>
      </c>
      <c r="BA119" s="141">
        <f t="shared" si="64"/>
        <v>7.2678266270443673E-2</v>
      </c>
      <c r="BB119" s="139">
        <f t="shared" si="76"/>
        <v>404.18236087365239</v>
      </c>
      <c r="BC119" s="137">
        <f t="shared" si="95"/>
        <v>4.7307692307692282</v>
      </c>
      <c r="BD119" s="138">
        <f t="shared" si="22"/>
        <v>7.5299435359105693E-3</v>
      </c>
      <c r="BE119" s="138">
        <f t="shared" si="72"/>
        <v>4.7307692307692282</v>
      </c>
      <c r="BF119" s="138">
        <f t="shared" si="77"/>
        <v>0.05</v>
      </c>
      <c r="BG119" s="137"/>
      <c r="BH119" s="138"/>
      <c r="BI119" s="137"/>
      <c r="BJ119" s="138"/>
    </row>
    <row r="120" spans="37:62" ht="16.5" customHeight="1">
      <c r="AL120" s="111"/>
      <c r="AM120" s="137">
        <f t="shared" si="91"/>
        <v>4.8461538461538431</v>
      </c>
      <c r="AN120" s="138">
        <f t="shared" si="79"/>
        <v>1</v>
      </c>
      <c r="AO120" s="141">
        <f t="shared" si="61"/>
        <v>7.5872570793216231E-3</v>
      </c>
      <c r="AP120" s="139">
        <f t="shared" si="73"/>
        <v>44.278047770884356</v>
      </c>
      <c r="AQ120" s="137">
        <f t="shared" si="92"/>
        <v>4.8461538461538431</v>
      </c>
      <c r="AR120" s="138">
        <f t="shared" si="80"/>
        <v>1</v>
      </c>
      <c r="AS120" s="141">
        <f t="shared" si="62"/>
        <v>1.0763465207368766E-2</v>
      </c>
      <c r="AT120" s="139">
        <f t="shared" si="74"/>
        <v>62.813902527570278</v>
      </c>
      <c r="AU120" s="137">
        <f t="shared" si="93"/>
        <v>4.8461538461538431</v>
      </c>
      <c r="AV120" s="138">
        <f t="shared" si="81"/>
        <v>1</v>
      </c>
      <c r="AW120" s="141">
        <f t="shared" si="63"/>
        <v>4.7278790202341686E-2</v>
      </c>
      <c r="AX120" s="139">
        <f t="shared" si="75"/>
        <v>275.9116383224063</v>
      </c>
      <c r="AY120" s="137">
        <f t="shared" si="94"/>
        <v>4.8461538461538431</v>
      </c>
      <c r="AZ120" s="138">
        <f t="shared" si="82"/>
        <v>1</v>
      </c>
      <c r="BA120" s="141">
        <f t="shared" si="64"/>
        <v>6.9258597279260689E-2</v>
      </c>
      <c r="BB120" s="139">
        <f t="shared" si="76"/>
        <v>404.18236087365244</v>
      </c>
      <c r="BC120" s="137">
        <f t="shared" si="95"/>
        <v>4.8461538461538431</v>
      </c>
      <c r="BD120" s="138">
        <f t="shared" si="22"/>
        <v>7.1756434715791774E-3</v>
      </c>
      <c r="BE120" s="138">
        <f t="shared" si="72"/>
        <v>4.8461538461538431</v>
      </c>
      <c r="BF120" s="138">
        <f t="shared" si="77"/>
        <v>0.05</v>
      </c>
      <c r="BG120" s="137"/>
      <c r="BH120" s="138"/>
      <c r="BI120" s="137"/>
      <c r="BJ120" s="138"/>
    </row>
    <row r="121" spans="37:62" ht="16.5" customHeight="1">
      <c r="AL121" s="111"/>
      <c r="AM121" s="137">
        <f t="shared" si="91"/>
        <v>4.9615384615384581</v>
      </c>
      <c r="AN121" s="138">
        <f t="shared" si="79"/>
        <v>1</v>
      </c>
      <c r="AO121" s="141">
        <f t="shared" si="61"/>
        <v>7.2384648393311766E-3</v>
      </c>
      <c r="AP121" s="139">
        <f t="shared" si="73"/>
        <v>44.278047770884356</v>
      </c>
      <c r="AQ121" s="137">
        <f t="shared" si="92"/>
        <v>4.9615384615384581</v>
      </c>
      <c r="AR121" s="138">
        <f t="shared" si="80"/>
        <v>1</v>
      </c>
      <c r="AS121" s="141">
        <f t="shared" si="62"/>
        <v>1.026866015456923E-2</v>
      </c>
      <c r="AT121" s="139">
        <f t="shared" si="74"/>
        <v>62.813902527570278</v>
      </c>
      <c r="AU121" s="137">
        <f t="shared" si="93"/>
        <v>4.9615384615384581</v>
      </c>
      <c r="AV121" s="138">
        <f t="shared" si="81"/>
        <v>1</v>
      </c>
      <c r="AW121" s="141">
        <f t="shared" si="63"/>
        <v>4.5105346628951187E-2</v>
      </c>
      <c r="AX121" s="139">
        <f t="shared" si="75"/>
        <v>275.9116383224063</v>
      </c>
      <c r="AY121" s="137">
        <f t="shared" si="94"/>
        <v>4.9615384615384581</v>
      </c>
      <c r="AZ121" s="138">
        <f t="shared" si="82"/>
        <v>1</v>
      </c>
      <c r="BA121" s="141">
        <f t="shared" si="64"/>
        <v>6.6074724500062659E-2</v>
      </c>
      <c r="BB121" s="139">
        <f t="shared" si="76"/>
        <v>404.18236087365233</v>
      </c>
      <c r="BC121" s="137">
        <f t="shared" si="95"/>
        <v>4.9615384615384581</v>
      </c>
      <c r="BD121" s="138">
        <f t="shared" si="22"/>
        <v>6.8457734363794867E-3</v>
      </c>
      <c r="BE121" s="138">
        <f t="shared" si="72"/>
        <v>4.9615384615384581</v>
      </c>
      <c r="BF121" s="138">
        <f t="shared" si="77"/>
        <v>0.05</v>
      </c>
      <c r="BG121" s="137"/>
      <c r="BH121" s="138"/>
      <c r="BI121" s="137"/>
      <c r="BJ121" s="138"/>
    </row>
    <row r="122" spans="37:62" ht="16.5" customHeight="1">
      <c r="AL122" s="111"/>
      <c r="AM122" s="137">
        <f t="shared" si="91"/>
        <v>5.0769230769230731</v>
      </c>
      <c r="AN122" s="138">
        <f t="shared" si="79"/>
        <v>1</v>
      </c>
      <c r="AO122" s="141">
        <f t="shared" si="61"/>
        <v>6.9131825867372659E-3</v>
      </c>
      <c r="AP122" s="139">
        <f t="shared" si="73"/>
        <v>44.278047770884356</v>
      </c>
      <c r="AQ122" s="137">
        <f t="shared" si="92"/>
        <v>5.0769230769230731</v>
      </c>
      <c r="AR122" s="138">
        <f t="shared" si="80"/>
        <v>1</v>
      </c>
      <c r="AS122" s="141">
        <f t="shared" si="62"/>
        <v>9.8072069348132795E-3</v>
      </c>
      <c r="AT122" s="139">
        <f t="shared" si="74"/>
        <v>62.813902527570278</v>
      </c>
      <c r="AU122" s="137">
        <f t="shared" si="93"/>
        <v>5.0769230769230731</v>
      </c>
      <c r="AV122" s="138">
        <f t="shared" si="81"/>
        <v>1</v>
      </c>
      <c r="AW122" s="141">
        <f t="shared" si="63"/>
        <v>4.3078401816596459E-2</v>
      </c>
      <c r="AX122" s="139">
        <f t="shared" si="75"/>
        <v>275.9116383224063</v>
      </c>
      <c r="AY122" s="137">
        <f t="shared" si="94"/>
        <v>5.0769230769230731</v>
      </c>
      <c r="AZ122" s="138">
        <f t="shared" si="82"/>
        <v>1</v>
      </c>
      <c r="BA122" s="141">
        <f t="shared" si="64"/>
        <v>6.310545743833465E-2</v>
      </c>
      <c r="BB122" s="139">
        <f t="shared" si="76"/>
        <v>404.18236087365244</v>
      </c>
      <c r="BC122" s="137">
        <f t="shared" si="95"/>
        <v>5.0769230769230731</v>
      </c>
      <c r="BD122" s="138">
        <f t="shared" si="22"/>
        <v>6.538137956542186E-3</v>
      </c>
      <c r="BE122" s="138">
        <f t="shared" si="72"/>
        <v>5.0769230769230731</v>
      </c>
      <c r="BF122" s="138">
        <f t="shared" si="77"/>
        <v>0.05</v>
      </c>
      <c r="BG122" s="137"/>
      <c r="BH122" s="138"/>
      <c r="BI122" s="137"/>
      <c r="BJ122" s="138"/>
    </row>
    <row r="123" spans="37:62" ht="16.5" customHeight="1">
      <c r="AL123" s="111"/>
      <c r="AM123" s="137">
        <f t="shared" si="91"/>
        <v>5.1923076923076881</v>
      </c>
      <c r="AN123" s="138">
        <f t="shared" si="79"/>
        <v>1</v>
      </c>
      <c r="AO123" s="141">
        <f t="shared" si="61"/>
        <v>6.6093439446535058E-3</v>
      </c>
      <c r="AP123" s="139">
        <f t="shared" si="73"/>
        <v>44.278047770884363</v>
      </c>
      <c r="AQ123" s="137">
        <f t="shared" si="92"/>
        <v>5.1923076923076881</v>
      </c>
      <c r="AR123" s="138">
        <f t="shared" si="80"/>
        <v>1</v>
      </c>
      <c r="AS123" s="141">
        <f t="shared" si="62"/>
        <v>9.3761741361967962E-3</v>
      </c>
      <c r="AT123" s="139">
        <f t="shared" si="74"/>
        <v>62.813902527570278</v>
      </c>
      <c r="AU123" s="137">
        <f t="shared" si="93"/>
        <v>5.1923076923076881</v>
      </c>
      <c r="AV123" s="138">
        <f t="shared" si="81"/>
        <v>1</v>
      </c>
      <c r="AW123" s="141">
        <f t="shared" si="63"/>
        <v>4.1185079465150994E-2</v>
      </c>
      <c r="AX123" s="139">
        <f t="shared" si="75"/>
        <v>275.9116383224063</v>
      </c>
      <c r="AY123" s="137">
        <f t="shared" si="94"/>
        <v>5.1923076923076881</v>
      </c>
      <c r="AZ123" s="138">
        <f t="shared" si="82"/>
        <v>1</v>
      </c>
      <c r="BA123" s="141">
        <f t="shared" si="64"/>
        <v>6.0331933629933776E-2</v>
      </c>
      <c r="BB123" s="139">
        <f t="shared" si="76"/>
        <v>404.18236087365239</v>
      </c>
      <c r="BC123" s="137">
        <f t="shared" si="95"/>
        <v>5.1923076923076881</v>
      </c>
      <c r="BD123" s="138">
        <f t="shared" si="22"/>
        <v>6.2507827574645311E-3</v>
      </c>
      <c r="BE123" s="138">
        <f t="shared" si="72"/>
        <v>5.1923076923076881</v>
      </c>
      <c r="BF123" s="138">
        <f t="shared" si="77"/>
        <v>0.05</v>
      </c>
      <c r="BG123" s="137"/>
      <c r="BH123" s="138"/>
      <c r="BI123" s="137"/>
      <c r="BJ123" s="138"/>
    </row>
    <row r="124" spans="37:62" ht="16.5" customHeight="1">
      <c r="AL124" s="111"/>
      <c r="AM124" s="137">
        <f t="shared" si="91"/>
        <v>5.307692307692303</v>
      </c>
      <c r="AN124" s="138">
        <f t="shared" si="79"/>
        <v>1</v>
      </c>
      <c r="AO124" s="141">
        <f t="shared" si="61"/>
        <v>6.3251046729316399E-3</v>
      </c>
      <c r="AP124" s="139">
        <f t="shared" si="73"/>
        <v>44.278047770884356</v>
      </c>
      <c r="AQ124" s="137">
        <f t="shared" si="92"/>
        <v>5.307692307692303</v>
      </c>
      <c r="AR124" s="138">
        <f t="shared" si="80"/>
        <v>1</v>
      </c>
      <c r="AS124" s="141">
        <f t="shared" si="62"/>
        <v>8.9729454753301099E-3</v>
      </c>
      <c r="AT124" s="139">
        <f t="shared" si="74"/>
        <v>62.813902527570264</v>
      </c>
      <c r="AU124" s="137">
        <f t="shared" si="93"/>
        <v>5.307692307692303</v>
      </c>
      <c r="AV124" s="138">
        <f t="shared" si="81"/>
        <v>1</v>
      </c>
      <c r="AW124" s="141">
        <f t="shared" si="63"/>
        <v>3.9413887484371822E-2</v>
      </c>
      <c r="AX124" s="139">
        <f t="shared" si="75"/>
        <v>275.9116383224063</v>
      </c>
      <c r="AY124" s="137">
        <f t="shared" si="94"/>
        <v>5.307692307692303</v>
      </c>
      <c r="AZ124" s="138">
        <f t="shared" si="82"/>
        <v>1</v>
      </c>
      <c r="BA124" s="141">
        <f t="shared" si="64"/>
        <v>5.7737318336775006E-2</v>
      </c>
      <c r="BB124" s="139">
        <f t="shared" si="76"/>
        <v>404.18236087365244</v>
      </c>
      <c r="BC124" s="137">
        <f t="shared" si="95"/>
        <v>5.307692307692303</v>
      </c>
      <c r="BD124" s="138">
        <f t="shared" si="22"/>
        <v>5.981963650220073E-3</v>
      </c>
      <c r="BE124" s="138">
        <f t="shared" si="72"/>
        <v>5.307692307692303</v>
      </c>
      <c r="BF124" s="138">
        <f t="shared" si="77"/>
        <v>0.05</v>
      </c>
      <c r="BG124" s="137"/>
      <c r="BH124" s="138"/>
      <c r="BI124" s="137"/>
      <c r="BJ124" s="138"/>
    </row>
    <row r="125" spans="37:62" ht="16.5" customHeight="1">
      <c r="AK125" s="135"/>
      <c r="AL125" s="111"/>
      <c r="AM125" s="137">
        <f t="shared" si="91"/>
        <v>5.423076923076918</v>
      </c>
      <c r="AN125" s="138">
        <f t="shared" si="79"/>
        <v>1</v>
      </c>
      <c r="AO125" s="141">
        <f t="shared" si="61"/>
        <v>6.0588146165338847E-3</v>
      </c>
      <c r="AP125" s="139">
        <f t="shared" si="73"/>
        <v>44.278047770884356</v>
      </c>
      <c r="AQ125" s="137">
        <f t="shared" si="92"/>
        <v>5.423076923076918</v>
      </c>
      <c r="AR125" s="138">
        <f t="shared" si="80"/>
        <v>1</v>
      </c>
      <c r="AS125" s="141">
        <f t="shared" si="62"/>
        <v>8.5951800026249497E-3</v>
      </c>
      <c r="AT125" s="139">
        <f t="shared" si="74"/>
        <v>62.813902527570278</v>
      </c>
      <c r="AU125" s="137">
        <f t="shared" si="93"/>
        <v>5.423076923076918</v>
      </c>
      <c r="AV125" s="138">
        <f t="shared" si="81"/>
        <v>1</v>
      </c>
      <c r="AW125" s="141">
        <f t="shared" si="63"/>
        <v>3.7754543194626879E-2</v>
      </c>
      <c r="AX125" s="139">
        <f t="shared" si="75"/>
        <v>275.9116383224063</v>
      </c>
      <c r="AY125" s="137">
        <f t="shared" si="94"/>
        <v>5.423076923076918</v>
      </c>
      <c r="AZ125" s="138">
        <f t="shared" si="82"/>
        <v>1</v>
      </c>
      <c r="BA125" s="141">
        <f t="shared" si="64"/>
        <v>5.5306548483755505E-2</v>
      </c>
      <c r="BB125" s="139">
        <f t="shared" si="76"/>
        <v>404.18236087365233</v>
      </c>
      <c r="BC125" s="137">
        <f t="shared" si="95"/>
        <v>5.423076923076918</v>
      </c>
      <c r="BD125" s="138">
        <f t="shared" si="22"/>
        <v>5.7301200017499665E-3</v>
      </c>
      <c r="BE125" s="138">
        <f t="shared" si="72"/>
        <v>5.423076923076918</v>
      </c>
      <c r="BF125" s="138">
        <f t="shared" si="77"/>
        <v>0.05</v>
      </c>
      <c r="BG125" s="137"/>
      <c r="BH125" s="138"/>
      <c r="BI125" s="137"/>
      <c r="BJ125" s="138"/>
    </row>
    <row r="126" spans="37:62" ht="16.5" customHeight="1">
      <c r="AL126" s="111"/>
      <c r="AM126" s="137">
        <f t="shared" si="91"/>
        <v>5.538461538461533</v>
      </c>
      <c r="AN126" s="138">
        <f t="shared" si="79"/>
        <v>1</v>
      </c>
      <c r="AO126" s="141">
        <f t="shared" si="61"/>
        <v>5.8089937013556222E-3</v>
      </c>
      <c r="AP126" s="139">
        <f t="shared" si="73"/>
        <v>44.278047770884356</v>
      </c>
      <c r="AQ126" s="137">
        <f t="shared" si="92"/>
        <v>5.538461538461533</v>
      </c>
      <c r="AR126" s="138">
        <f t="shared" si="80"/>
        <v>1</v>
      </c>
      <c r="AS126" s="141">
        <f t="shared" si="62"/>
        <v>8.2407780493917171E-3</v>
      </c>
      <c r="AT126" s="139">
        <f t="shared" si="74"/>
        <v>62.813902527570264</v>
      </c>
      <c r="AU126" s="137">
        <f t="shared" si="93"/>
        <v>5.538461538461533</v>
      </c>
      <c r="AV126" s="138">
        <f t="shared" si="81"/>
        <v>1</v>
      </c>
      <c r="AW126" s="141">
        <f t="shared" si="63"/>
        <v>3.6197823748667875E-2</v>
      </c>
      <c r="AX126" s="139">
        <f t="shared" si="75"/>
        <v>275.9116383224063</v>
      </c>
      <c r="AY126" s="137">
        <f t="shared" si="94"/>
        <v>5.538461538461533</v>
      </c>
      <c r="AZ126" s="138">
        <f t="shared" si="82"/>
        <v>1</v>
      </c>
      <c r="BA126" s="141">
        <f t="shared" si="64"/>
        <v>5.3026113541933997E-2</v>
      </c>
      <c r="BB126" s="139">
        <f t="shared" si="76"/>
        <v>404.18236087365239</v>
      </c>
      <c r="BC126" s="137">
        <f t="shared" si="95"/>
        <v>5.538461538461533</v>
      </c>
      <c r="BD126" s="138">
        <f t="shared" si="22"/>
        <v>5.4938520329278111E-3</v>
      </c>
      <c r="BE126" s="138">
        <f t="shared" si="72"/>
        <v>5.538461538461533</v>
      </c>
      <c r="BF126" s="138">
        <f t="shared" si="77"/>
        <v>0.05</v>
      </c>
      <c r="BG126" s="137"/>
      <c r="BH126" s="138"/>
      <c r="BI126" s="137"/>
      <c r="BJ126" s="138"/>
    </row>
    <row r="127" spans="37:62" ht="16.5" customHeight="1">
      <c r="AL127" s="111"/>
      <c r="AM127" s="137">
        <f t="shared" si="91"/>
        <v>5.653846153846148</v>
      </c>
      <c r="AN127" s="138">
        <f t="shared" si="79"/>
        <v>1</v>
      </c>
      <c r="AO127" s="141">
        <f t="shared" si="61"/>
        <v>5.5743113235832377E-3</v>
      </c>
      <c r="AP127" s="139">
        <f t="shared" si="73"/>
        <v>44.278047770884363</v>
      </c>
      <c r="AQ127" s="137">
        <f t="shared" si="92"/>
        <v>5.653846153846148</v>
      </c>
      <c r="AR127" s="138">
        <f t="shared" si="80"/>
        <v>1</v>
      </c>
      <c r="AS127" s="141">
        <f t="shared" si="62"/>
        <v>7.9078519890872639E-3</v>
      </c>
      <c r="AT127" s="139">
        <f t="shared" si="74"/>
        <v>62.813902527570285</v>
      </c>
      <c r="AU127" s="137">
        <f t="shared" si="93"/>
        <v>5.653846153846148</v>
      </c>
      <c r="AV127" s="138">
        <f t="shared" si="81"/>
        <v>1</v>
      </c>
      <c r="AW127" s="141">
        <f t="shared" si="63"/>
        <v>3.4735437699679635E-2</v>
      </c>
      <c r="AX127" s="139">
        <f t="shared" si="75"/>
        <v>275.9116383224063</v>
      </c>
      <c r="AY127" s="137">
        <f t="shared" si="94"/>
        <v>5.653846153846148</v>
      </c>
      <c r="AZ127" s="138">
        <f t="shared" si="82"/>
        <v>1</v>
      </c>
      <c r="BA127" s="141">
        <f t="shared" si="64"/>
        <v>5.0883867388844622E-2</v>
      </c>
      <c r="BB127" s="139">
        <f t="shared" si="76"/>
        <v>404.18236087365239</v>
      </c>
      <c r="BC127" s="137">
        <f t="shared" si="95"/>
        <v>5.653846153846148</v>
      </c>
      <c r="BD127" s="138">
        <f t="shared" si="22"/>
        <v>5.271901326058176E-3</v>
      </c>
      <c r="BE127" s="138">
        <f t="shared" si="72"/>
        <v>5.653846153846148</v>
      </c>
      <c r="BF127" s="138">
        <f t="shared" si="77"/>
        <v>0.05</v>
      </c>
      <c r="BG127" s="137"/>
      <c r="BH127" s="138"/>
      <c r="BI127" s="137"/>
      <c r="BJ127" s="138"/>
    </row>
    <row r="128" spans="37:62" ht="16.5" customHeight="1">
      <c r="AL128" s="111"/>
      <c r="AM128" s="137">
        <f t="shared" si="91"/>
        <v>5.7692307692307629</v>
      </c>
      <c r="AN128" s="138">
        <f t="shared" si="79"/>
        <v>1</v>
      </c>
      <c r="AO128" s="141">
        <f t="shared" ref="AO128:AO130" si="96">AO$7*AM$22*AM$63/AM128^2*AN128</f>
        <v>5.3535685951693422E-3</v>
      </c>
      <c r="AP128" s="139">
        <f t="shared" si="73"/>
        <v>44.278047770884356</v>
      </c>
      <c r="AQ128" s="137">
        <f t="shared" si="92"/>
        <v>5.7692307692307629</v>
      </c>
      <c r="AR128" s="138">
        <f t="shared" si="80"/>
        <v>1</v>
      </c>
      <c r="AS128" s="141">
        <f t="shared" ref="AS128:AS130" si="97">AS$7*AQ$22*AQ$63/AQ128^2*AR128</f>
        <v>7.5947010503194089E-3</v>
      </c>
      <c r="AT128" s="139">
        <f t="shared" si="74"/>
        <v>62.813902527570278</v>
      </c>
      <c r="AU128" s="137">
        <f t="shared" si="93"/>
        <v>5.7692307692307629</v>
      </c>
      <c r="AV128" s="138">
        <f t="shared" si="81"/>
        <v>1</v>
      </c>
      <c r="AW128" s="141">
        <f t="shared" ref="AW128:AW130" si="98">AW$7*AU$22*AU$63/AU128^2*AV128</f>
        <v>3.3359914366772325E-2</v>
      </c>
      <c r="AX128" s="139">
        <f t="shared" si="75"/>
        <v>275.9116383224063</v>
      </c>
      <c r="AY128" s="137">
        <f t="shared" si="94"/>
        <v>5.7692307692307629</v>
      </c>
      <c r="AZ128" s="138">
        <f t="shared" si="82"/>
        <v>1</v>
      </c>
      <c r="BA128" s="141">
        <f t="shared" ref="BA128:BA130" si="99">BA$7*AY$22*AY$63/AY128^2*AZ128</f>
        <v>4.8868866240246382E-2</v>
      </c>
      <c r="BB128" s="139">
        <f t="shared" si="76"/>
        <v>404.18236087365239</v>
      </c>
      <c r="BC128" s="137">
        <f t="shared" si="95"/>
        <v>5.7692307692307629</v>
      </c>
      <c r="BD128" s="138">
        <f t="shared" si="22"/>
        <v>5.0631340335462729E-3</v>
      </c>
      <c r="BE128" s="138">
        <f t="shared" si="72"/>
        <v>5.7692307692307629</v>
      </c>
      <c r="BF128" s="138">
        <f t="shared" si="77"/>
        <v>0.05</v>
      </c>
      <c r="BG128" s="137"/>
      <c r="BH128" s="138"/>
      <c r="BI128" s="137"/>
      <c r="BJ128" s="138"/>
    </row>
    <row r="129" spans="36:62" ht="16.5" customHeight="1">
      <c r="AL129" s="111"/>
      <c r="AM129" s="137">
        <f t="shared" si="91"/>
        <v>5.8846153846153779</v>
      </c>
      <c r="AN129" s="138">
        <f t="shared" si="79"/>
        <v>1</v>
      </c>
      <c r="AO129" s="141">
        <f t="shared" si="96"/>
        <v>5.1456830018928703E-3</v>
      </c>
      <c r="AP129" s="139">
        <f t="shared" si="73"/>
        <v>44.278047770884356</v>
      </c>
      <c r="AQ129" s="137">
        <f t="shared" si="92"/>
        <v>5.8846153846153779</v>
      </c>
      <c r="AR129" s="138">
        <f t="shared" si="80"/>
        <v>1</v>
      </c>
      <c r="AS129" s="141">
        <f t="shared" si="97"/>
        <v>7.299789552402354E-3</v>
      </c>
      <c r="AT129" s="139">
        <f t="shared" si="74"/>
        <v>62.813902527570278</v>
      </c>
      <c r="AU129" s="137">
        <f t="shared" si="93"/>
        <v>5.8846153846153779</v>
      </c>
      <c r="AV129" s="138">
        <f t="shared" si="81"/>
        <v>1</v>
      </c>
      <c r="AW129" s="141">
        <f t="shared" si="98"/>
        <v>3.2064508234114115E-2</v>
      </c>
      <c r="AX129" s="139">
        <f t="shared" si="75"/>
        <v>275.9116383224063</v>
      </c>
      <c r="AY129" s="137">
        <f t="shared" si="94"/>
        <v>5.8846153846153779</v>
      </c>
      <c r="AZ129" s="138">
        <f t="shared" si="82"/>
        <v>1</v>
      </c>
      <c r="BA129" s="141">
        <f t="shared" si="99"/>
        <v>4.6971228604619747E-2</v>
      </c>
      <c r="BB129" s="139">
        <f t="shared" si="76"/>
        <v>404.18236087365244</v>
      </c>
      <c r="BC129" s="137">
        <f t="shared" si="95"/>
        <v>5.8846153846153779</v>
      </c>
      <c r="BD129" s="138">
        <f t="shared" si="22"/>
        <v>4.8665263682682357E-3</v>
      </c>
      <c r="BE129" s="138">
        <f t="shared" si="72"/>
        <v>5.8846153846153779</v>
      </c>
      <c r="BF129" s="138">
        <f t="shared" si="77"/>
        <v>0.05</v>
      </c>
      <c r="BG129" s="137"/>
      <c r="BH129" s="138"/>
      <c r="BI129" s="137"/>
      <c r="BJ129" s="138"/>
    </row>
    <row r="130" spans="36:62" ht="16.5" customHeight="1">
      <c r="AL130" s="111" t="s">
        <v>229</v>
      </c>
      <c r="AM130" s="137">
        <f>AO$5</f>
        <v>6</v>
      </c>
      <c r="AN130" s="138">
        <f t="shared" si="79"/>
        <v>1</v>
      </c>
      <c r="AO130" s="141">
        <f t="shared" si="96"/>
        <v>4.9496751064805203E-3</v>
      </c>
      <c r="AP130" s="139">
        <f t="shared" si="73"/>
        <v>44.278047770884356</v>
      </c>
      <c r="AQ130" s="137">
        <f>AS$5</f>
        <v>6</v>
      </c>
      <c r="AR130" s="138">
        <f t="shared" si="80"/>
        <v>1</v>
      </c>
      <c r="AS130" s="141">
        <f t="shared" si="97"/>
        <v>7.0217280420852369E-3</v>
      </c>
      <c r="AT130" s="139">
        <f t="shared" si="74"/>
        <v>62.813902527570264</v>
      </c>
      <c r="AU130" s="137">
        <f>AW$5</f>
        <v>6</v>
      </c>
      <c r="AV130" s="138">
        <f t="shared" si="81"/>
        <v>1</v>
      </c>
      <c r="AW130" s="141">
        <f t="shared" si="98"/>
        <v>3.0843116093539433E-2</v>
      </c>
      <c r="AX130" s="139">
        <f t="shared" si="75"/>
        <v>275.9116383224063</v>
      </c>
      <c r="AY130" s="137">
        <f>BA$5</f>
        <v>6</v>
      </c>
      <c r="AZ130" s="138">
        <f t="shared" si="82"/>
        <v>1</v>
      </c>
      <c r="BA130" s="141">
        <f t="shared" si="99"/>
        <v>4.5182013905553139E-2</v>
      </c>
      <c r="BB130" s="139">
        <f t="shared" si="76"/>
        <v>404.18236087365239</v>
      </c>
      <c r="BC130" s="137">
        <f t="shared" si="95"/>
        <v>6</v>
      </c>
      <c r="BD130" s="141">
        <f t="shared" si="22"/>
        <v>4.6811520280568243E-3</v>
      </c>
      <c r="BE130" s="138">
        <f t="shared" si="72"/>
        <v>6</v>
      </c>
      <c r="BF130" s="138">
        <f t="shared" si="77"/>
        <v>0.05</v>
      </c>
      <c r="BG130" s="137"/>
      <c r="BH130" s="138"/>
      <c r="BI130" s="137"/>
      <c r="BJ130" s="138"/>
    </row>
    <row r="131" spans="36:62" ht="16.5" customHeight="1">
      <c r="AL131" s="114"/>
      <c r="AM131" s="137">
        <f t="shared" ref="AM131:AM139" si="100">AM$130+(AM$140-AM$130)*(ROW(AM131)-ROW(AM$130))/10</f>
        <v>6.4</v>
      </c>
      <c r="AN131" s="138">
        <f t="shared" si="79"/>
        <v>1</v>
      </c>
      <c r="AO131" s="141">
        <f>AP131/9.81/(AM131/2/PI())^2/1000</f>
        <v>4.0996051100417961E-3</v>
      </c>
      <c r="AP131" s="139">
        <f t="shared" ref="AP131:AP140" si="101">$AL$135*AO$1*AO$3*AO$4*9.81*(AO$8*$AB$7+(1-AO$8*$AB$7)*(AM131-AO$5)/($AE$6-AO$5))</f>
        <v>41.726431458663903</v>
      </c>
      <c r="AQ131" s="137">
        <f t="shared" ref="AQ131:AQ139" si="102">AQ$130+(AQ$140-AQ$130)*(ROW(AQ131)-ROW(AQ$130))/10</f>
        <v>6.4</v>
      </c>
      <c r="AR131" s="138">
        <f t="shared" si="80"/>
        <v>1</v>
      </c>
      <c r="AS131" s="141">
        <f>AT131/9.81/(AQ131/2/PI())^2/1000</f>
        <v>5.8207663998483252E-3</v>
      </c>
      <c r="AT131" s="139">
        <f t="shared" ref="AT131:AT140" si="103">$AL$135*$C$18*$E$18*$F$18*9.81*($D$8*$AB$7+(1-$D$8*$AB$7)*(AQ131-$G$18)/($AE$6-$G$18))</f>
        <v>59.244684231962218</v>
      </c>
      <c r="AU131" s="137">
        <f t="shared" ref="AU131:AU139" si="104">AU$130+(AU$140-AU$130)*(ROW(AU131)-ROW(AU$130))/10</f>
        <v>6.4</v>
      </c>
      <c r="AV131" s="138">
        <f t="shared" si="81"/>
        <v>1</v>
      </c>
      <c r="AW131" s="141">
        <f>AX131/9.81/(AU131/2/PI())^2/1000</f>
        <v>2.5522208641815061E-2</v>
      </c>
      <c r="AX131" s="139">
        <f t="shared" ref="AX131:AX140" si="105">$AL$135*$C$19*$E$19*$F$19*9.81*($D$9*$AB$7+(1-$D$9*$AB$7)*(AU131-$G$19)/($AE$6-$G$19))</f>
        <v>259.76909018819089</v>
      </c>
      <c r="AY131" s="137">
        <f t="shared" ref="AY131:AY139" si="106">AY$130+(AY$140-AY$130)*(ROW(AY131)-ROW(AY$130))/10</f>
        <v>6.4</v>
      </c>
      <c r="AZ131" s="138">
        <f t="shared" si="82"/>
        <v>1</v>
      </c>
      <c r="BA131" s="141">
        <f>BB131/9.81/(AY131/2/PI())^2/1000</f>
        <v>3.7363840702786491E-2</v>
      </c>
      <c r="BB131" s="139">
        <f t="shared" ref="BB131:BB140" si="107">$AL$135*$C$20*$E$20*$F$20*9.81*($D$10*$AB$7+(1-$D$10*$AB$7)*(AY131-$G$20)/($AE$6-$G$20))</f>
        <v>380.29510069113996</v>
      </c>
      <c r="BC131" s="137">
        <f t="shared" si="95"/>
        <v>6.4</v>
      </c>
      <c r="BD131" s="141">
        <f t="shared" ref="BD131:BD140" si="108">AS131/1.5</f>
        <v>3.880510933232217E-3</v>
      </c>
      <c r="BE131" s="138">
        <f t="shared" si="72"/>
        <v>6.4</v>
      </c>
      <c r="BF131" s="138">
        <f t="shared" si="77"/>
        <v>0.05</v>
      </c>
      <c r="BG131" s="137"/>
      <c r="BH131" s="138"/>
      <c r="BI131" s="137"/>
      <c r="BJ131" s="138"/>
    </row>
    <row r="132" spans="36:62" ht="16.5" customHeight="1">
      <c r="AL132" s="114"/>
      <c r="AM132" s="137">
        <f t="shared" si="100"/>
        <v>6.8</v>
      </c>
      <c r="AN132" s="138">
        <f t="shared" si="79"/>
        <v>1</v>
      </c>
      <c r="AO132" s="141">
        <f t="shared" ref="AO132:AO140" si="109">AP132/9.81/(AM132/2/PI())^2/1000</f>
        <v>3.4094149390425025E-3</v>
      </c>
      <c r="AP132" s="139">
        <f t="shared" si="101"/>
        <v>39.17481514644345</v>
      </c>
      <c r="AQ132" s="137">
        <f t="shared" si="102"/>
        <v>6.8</v>
      </c>
      <c r="AR132" s="138">
        <f t="shared" si="80"/>
        <v>1</v>
      </c>
      <c r="AS132" s="141">
        <f t="shared" ref="AS132:AS140" si="110">AT132/9.81/(AQ132/2/PI())^2/1000</f>
        <v>4.84547954066839E-3</v>
      </c>
      <c r="AT132" s="139">
        <f t="shared" si="103"/>
        <v>55.675465936354179</v>
      </c>
      <c r="AU132" s="137">
        <f t="shared" si="104"/>
        <v>6.8</v>
      </c>
      <c r="AV132" s="138">
        <f t="shared" si="81"/>
        <v>1</v>
      </c>
      <c r="AW132" s="141">
        <f t="shared" ref="AW132:AW140" si="111">AX132/9.81/(AU132/2/PI())^2/1000</f>
        <v>2.1203009354889061E-2</v>
      </c>
      <c r="AX132" s="139">
        <f t="shared" si="105"/>
        <v>243.62654205397541</v>
      </c>
      <c r="AY132" s="137">
        <f t="shared" si="106"/>
        <v>6.8</v>
      </c>
      <c r="AZ132" s="138">
        <f t="shared" si="82"/>
        <v>1</v>
      </c>
      <c r="BA132" s="141">
        <f t="shared" ref="BA132:BA140" si="112">BB132/9.81/(AY132/2/PI())^2/1000</f>
        <v>3.1018454363589031E-2</v>
      </c>
      <c r="BB132" s="139">
        <f t="shared" si="107"/>
        <v>356.4078405086276</v>
      </c>
      <c r="BC132" s="137">
        <f t="shared" si="95"/>
        <v>6.8</v>
      </c>
      <c r="BD132" s="141">
        <f t="shared" si="108"/>
        <v>3.2303196937789268E-3</v>
      </c>
      <c r="BE132" s="138">
        <f t="shared" si="72"/>
        <v>6.8</v>
      </c>
      <c r="BF132" s="138">
        <f t="shared" si="77"/>
        <v>0.05</v>
      </c>
      <c r="BG132" s="137"/>
      <c r="BH132" s="138"/>
      <c r="BI132" s="137"/>
      <c r="BJ132" s="138"/>
    </row>
    <row r="133" spans="36:62" ht="16.5" customHeight="1">
      <c r="AL133" s="114"/>
      <c r="AM133" s="137">
        <f t="shared" si="100"/>
        <v>7.2</v>
      </c>
      <c r="AN133" s="138">
        <f t="shared" si="79"/>
        <v>1</v>
      </c>
      <c r="AO133" s="141">
        <f t="shared" si="109"/>
        <v>2.8430337240613161E-3</v>
      </c>
      <c r="AP133" s="139">
        <f t="shared" si="101"/>
        <v>36.623198834222997</v>
      </c>
      <c r="AQ133" s="137">
        <f t="shared" si="102"/>
        <v>7.2</v>
      </c>
      <c r="AR133" s="138">
        <f t="shared" si="80"/>
        <v>1</v>
      </c>
      <c r="AS133" s="141">
        <f t="shared" si="110"/>
        <v>4.0449721485961649E-3</v>
      </c>
      <c r="AT133" s="139">
        <f t="shared" si="103"/>
        <v>52.106247640746119</v>
      </c>
      <c r="AU133" s="137">
        <f t="shared" si="104"/>
        <v>7.2</v>
      </c>
      <c r="AV133" s="138">
        <f t="shared" si="81"/>
        <v>1</v>
      </c>
      <c r="AW133" s="141">
        <f t="shared" si="111"/>
        <v>1.7659425909942045E-2</v>
      </c>
      <c r="AX133" s="139">
        <f t="shared" si="105"/>
        <v>227.48399391975994</v>
      </c>
      <c r="AY133" s="137">
        <f t="shared" si="106"/>
        <v>7.2</v>
      </c>
      <c r="AZ133" s="138">
        <f t="shared" si="82"/>
        <v>1</v>
      </c>
      <c r="BA133" s="141">
        <f t="shared" si="112"/>
        <v>2.5813343834077518E-2</v>
      </c>
      <c r="BB133" s="139">
        <f t="shared" si="107"/>
        <v>332.52058032611524</v>
      </c>
      <c r="BC133" s="137">
        <f t="shared" si="95"/>
        <v>7.2</v>
      </c>
      <c r="BD133" s="141">
        <f t="shared" si="108"/>
        <v>2.6966480990641101E-3</v>
      </c>
      <c r="BE133" s="138">
        <f t="shared" si="72"/>
        <v>7.2</v>
      </c>
      <c r="BF133" s="138">
        <f t="shared" si="77"/>
        <v>0.05</v>
      </c>
      <c r="BG133" s="137"/>
      <c r="BH133" s="138"/>
      <c r="BI133" s="137"/>
      <c r="BJ133" s="138"/>
    </row>
    <row r="134" spans="36:62" ht="16.5" customHeight="1">
      <c r="AL134" s="114"/>
      <c r="AM134" s="137">
        <f t="shared" si="100"/>
        <v>7.6</v>
      </c>
      <c r="AN134" s="138">
        <f t="shared" si="79"/>
        <v>1</v>
      </c>
      <c r="AO134" s="141">
        <f t="shared" si="109"/>
        <v>2.3738640881120479E-3</v>
      </c>
      <c r="AP134" s="139">
        <f t="shared" si="101"/>
        <v>34.071582522002544</v>
      </c>
      <c r="AQ134" s="137">
        <f t="shared" si="102"/>
        <v>7.6</v>
      </c>
      <c r="AR134" s="138">
        <f t="shared" si="80"/>
        <v>1</v>
      </c>
      <c r="AS134" s="141">
        <f t="shared" si="110"/>
        <v>3.3817129225405841E-3</v>
      </c>
      <c r="AT134" s="139">
        <f t="shared" si="103"/>
        <v>48.537029345138073</v>
      </c>
      <c r="AU134" s="137">
        <f t="shared" si="104"/>
        <v>7.6</v>
      </c>
      <c r="AV134" s="138">
        <f t="shared" si="81"/>
        <v>1</v>
      </c>
      <c r="AW134" s="141">
        <f t="shared" si="111"/>
        <v>1.4724759795234082E-2</v>
      </c>
      <c r="AX134" s="139">
        <f t="shared" si="105"/>
        <v>211.34144578554444</v>
      </c>
      <c r="AY134" s="137">
        <f t="shared" si="106"/>
        <v>7.6</v>
      </c>
      <c r="AZ134" s="138">
        <f t="shared" si="82"/>
        <v>1</v>
      </c>
      <c r="BA134" s="141">
        <f t="shared" si="112"/>
        <v>2.1503361477576192E-2</v>
      </c>
      <c r="BB134" s="139">
        <f t="shared" si="107"/>
        <v>308.63332014360293</v>
      </c>
      <c r="BC134" s="137">
        <f t="shared" si="95"/>
        <v>7.6</v>
      </c>
      <c r="BD134" s="141">
        <f t="shared" si="108"/>
        <v>2.2544752816937227E-3</v>
      </c>
      <c r="BE134" s="138">
        <f t="shared" si="72"/>
        <v>7.6</v>
      </c>
      <c r="BF134" s="138">
        <f t="shared" si="77"/>
        <v>0.05</v>
      </c>
      <c r="BG134" s="137"/>
      <c r="BH134" s="138"/>
      <c r="BI134" s="137"/>
      <c r="BJ134" s="138"/>
    </row>
    <row r="135" spans="36:62" ht="16.5" customHeight="1">
      <c r="AJ135" s="135" t="s">
        <v>266</v>
      </c>
      <c r="AL135" s="138">
        <f>250/PI()^2</f>
        <v>25.330295910584443</v>
      </c>
      <c r="AM135" s="137">
        <f t="shared" si="100"/>
        <v>8</v>
      </c>
      <c r="AN135" s="138">
        <f t="shared" si="79"/>
        <v>1</v>
      </c>
      <c r="AO135" s="141">
        <f t="shared" si="109"/>
        <v>1.9819673625525807E-3</v>
      </c>
      <c r="AP135" s="139">
        <f t="shared" si="101"/>
        <v>31.519966209782087</v>
      </c>
      <c r="AQ135" s="137">
        <f t="shared" si="102"/>
        <v>8</v>
      </c>
      <c r="AR135" s="138">
        <f t="shared" si="80"/>
        <v>1</v>
      </c>
      <c r="AS135" s="141">
        <f t="shared" si="110"/>
        <v>2.8275643848228601E-3</v>
      </c>
      <c r="AT135" s="139">
        <f t="shared" si="103"/>
        <v>44.96781104953002</v>
      </c>
      <c r="AU135" s="137">
        <f t="shared" si="104"/>
        <v>8</v>
      </c>
      <c r="AV135" s="138">
        <f t="shared" si="81"/>
        <v>1</v>
      </c>
      <c r="AW135" s="141">
        <f t="shared" si="111"/>
        <v>1.2274056443344466E-2</v>
      </c>
      <c r="AX135" s="139">
        <f t="shared" si="105"/>
        <v>195.19889765132896</v>
      </c>
      <c r="AY135" s="137">
        <f t="shared" si="106"/>
        <v>8</v>
      </c>
      <c r="AZ135" s="138">
        <f t="shared" si="82"/>
        <v>1</v>
      </c>
      <c r="BA135" s="141">
        <f t="shared" si="112"/>
        <v>1.7904758961422226E-2</v>
      </c>
      <c r="BB135" s="139">
        <f t="shared" si="107"/>
        <v>284.74605996109051</v>
      </c>
      <c r="BC135" s="137">
        <f t="shared" si="95"/>
        <v>8</v>
      </c>
      <c r="BD135" s="141">
        <f t="shared" si="108"/>
        <v>1.8850429232152401E-3</v>
      </c>
      <c r="BE135" s="138">
        <f t="shared" si="72"/>
        <v>8</v>
      </c>
      <c r="BF135" s="138">
        <f t="shared" si="77"/>
        <v>0.05</v>
      </c>
      <c r="BG135" s="137"/>
      <c r="BH135" s="138"/>
      <c r="BI135" s="137"/>
      <c r="BJ135" s="138"/>
    </row>
    <row r="136" spans="36:62" ht="16.5" customHeight="1">
      <c r="AL136" s="114"/>
      <c r="AM136" s="137">
        <f t="shared" si="100"/>
        <v>8.4</v>
      </c>
      <c r="AN136" s="138">
        <f t="shared" si="79"/>
        <v>1</v>
      </c>
      <c r="AO136" s="141">
        <f t="shared" si="109"/>
        <v>1.6521744993959532E-3</v>
      </c>
      <c r="AP136" s="139">
        <f t="shared" si="101"/>
        <v>28.96834989756163</v>
      </c>
      <c r="AQ136" s="137">
        <f t="shared" si="102"/>
        <v>8.4</v>
      </c>
      <c r="AR136" s="138">
        <f t="shared" si="80"/>
        <v>1</v>
      </c>
      <c r="AS136" s="141">
        <f t="shared" si="110"/>
        <v>2.3611182376896528E-3</v>
      </c>
      <c r="AT136" s="139">
        <f t="shared" si="103"/>
        <v>41.39859275392196</v>
      </c>
      <c r="AU136" s="137">
        <f t="shared" si="104"/>
        <v>8.4</v>
      </c>
      <c r="AV136" s="138">
        <f t="shared" si="81"/>
        <v>1</v>
      </c>
      <c r="AW136" s="141">
        <f t="shared" si="111"/>
        <v>1.0212260473006959E-2</v>
      </c>
      <c r="AX136" s="139">
        <f t="shared" si="105"/>
        <v>179.05634951711349</v>
      </c>
      <c r="AY136" s="137">
        <f t="shared" si="106"/>
        <v>8.4</v>
      </c>
      <c r="AZ136" s="138">
        <f t="shared" si="82"/>
        <v>1</v>
      </c>
      <c r="BA136" s="141">
        <f t="shared" si="112"/>
        <v>1.4877763437035773E-2</v>
      </c>
      <c r="BB136" s="139">
        <f t="shared" si="107"/>
        <v>260.85879977857809</v>
      </c>
      <c r="BC136" s="137">
        <f t="shared" si="95"/>
        <v>8.4</v>
      </c>
      <c r="BD136" s="141">
        <f t="shared" si="108"/>
        <v>1.5740788251264353E-3</v>
      </c>
      <c r="BE136" s="138">
        <f t="shared" si="72"/>
        <v>8.4</v>
      </c>
      <c r="BF136" s="138">
        <f t="shared" si="77"/>
        <v>0.05</v>
      </c>
      <c r="BG136" s="137"/>
      <c r="BH136" s="138"/>
      <c r="BI136" s="137"/>
      <c r="BJ136" s="138"/>
    </row>
    <row r="137" spans="36:62" ht="16.5" customHeight="1">
      <c r="AL137" s="114"/>
      <c r="AM137" s="137">
        <f t="shared" si="100"/>
        <v>8.8000000000000007</v>
      </c>
      <c r="AN137" s="138">
        <f t="shared" si="79"/>
        <v>1</v>
      </c>
      <c r="AO137" s="141">
        <f t="shared" si="109"/>
        <v>1.3727912467896661E-3</v>
      </c>
      <c r="AP137" s="139">
        <f t="shared" si="101"/>
        <v>26.416733585341174</v>
      </c>
      <c r="AQ137" s="137">
        <f t="shared" si="102"/>
        <v>8.8000000000000007</v>
      </c>
      <c r="AR137" s="138">
        <f t="shared" si="80"/>
        <v>1</v>
      </c>
      <c r="AS137" s="141">
        <f t="shared" si="110"/>
        <v>1.9658688671758888E-3</v>
      </c>
      <c r="AT137" s="139">
        <f t="shared" si="103"/>
        <v>37.829374458313907</v>
      </c>
      <c r="AU137" s="137">
        <f t="shared" si="104"/>
        <v>8.8000000000000007</v>
      </c>
      <c r="AV137" s="138">
        <f t="shared" si="81"/>
        <v>1</v>
      </c>
      <c r="AW137" s="141">
        <f t="shared" si="111"/>
        <v>8.4660974377156022E-3</v>
      </c>
      <c r="AX137" s="139">
        <f t="shared" si="105"/>
        <v>162.91380138289799</v>
      </c>
      <c r="AY137" s="137">
        <f t="shared" si="106"/>
        <v>8.8000000000000007</v>
      </c>
      <c r="AZ137" s="138">
        <f t="shared" si="82"/>
        <v>1</v>
      </c>
      <c r="BA137" s="141">
        <f t="shared" si="112"/>
        <v>1.2314635882017901E-2</v>
      </c>
      <c r="BB137" s="139">
        <f t="shared" si="107"/>
        <v>236.97153959606572</v>
      </c>
      <c r="BC137" s="137">
        <f t="shared" si="95"/>
        <v>8.8000000000000007</v>
      </c>
      <c r="BD137" s="141">
        <f t="shared" si="108"/>
        <v>1.3105792447839259E-3</v>
      </c>
      <c r="BE137" s="138">
        <f t="shared" si="72"/>
        <v>8.8000000000000007</v>
      </c>
      <c r="BF137" s="138">
        <f t="shared" si="77"/>
        <v>0.05</v>
      </c>
      <c r="BG137" s="137"/>
      <c r="BH137" s="138"/>
      <c r="BI137" s="137"/>
      <c r="BJ137" s="138"/>
    </row>
    <row r="138" spans="36:62" ht="16.5" customHeight="1">
      <c r="AL138" s="114"/>
      <c r="AM138" s="137">
        <f t="shared" si="100"/>
        <v>9.1999999999999993</v>
      </c>
      <c r="AN138" s="138">
        <f t="shared" si="79"/>
        <v>1</v>
      </c>
      <c r="AO138" s="141">
        <f t="shared" si="109"/>
        <v>1.1346937101300225E-3</v>
      </c>
      <c r="AP138" s="139">
        <f t="shared" si="101"/>
        <v>23.865117273120728</v>
      </c>
      <c r="AQ138" s="137">
        <f t="shared" si="102"/>
        <v>9.1999999999999993</v>
      </c>
      <c r="AR138" s="138">
        <f t="shared" si="80"/>
        <v>1</v>
      </c>
      <c r="AS138" s="141">
        <f t="shared" si="110"/>
        <v>1.6289374680626158E-3</v>
      </c>
      <c r="AT138" s="139">
        <f t="shared" si="103"/>
        <v>34.260156162705869</v>
      </c>
      <c r="AU138" s="137">
        <f t="shared" si="104"/>
        <v>9.1999999999999993</v>
      </c>
      <c r="AV138" s="138">
        <f t="shared" si="81"/>
        <v>1</v>
      </c>
      <c r="AW138" s="141">
        <f t="shared" si="111"/>
        <v>6.9784034992677428E-3</v>
      </c>
      <c r="AX138" s="139">
        <f t="shared" si="105"/>
        <v>146.77125324868257</v>
      </c>
      <c r="AY138" s="137">
        <f t="shared" si="106"/>
        <v>9.1999999999999993</v>
      </c>
      <c r="AZ138" s="138">
        <f t="shared" si="82"/>
        <v>1</v>
      </c>
      <c r="BA138" s="141">
        <f t="shared" si="112"/>
        <v>1.0131330544537909E-2</v>
      </c>
      <c r="BB138" s="139">
        <f t="shared" si="107"/>
        <v>213.08427941355339</v>
      </c>
      <c r="BC138" s="137">
        <f t="shared" si="95"/>
        <v>9.1999999999999993</v>
      </c>
      <c r="BD138" s="141">
        <f t="shared" si="108"/>
        <v>1.0859583120417439E-3</v>
      </c>
      <c r="BE138" s="138">
        <f t="shared" si="72"/>
        <v>9.1999999999999993</v>
      </c>
      <c r="BF138" s="138">
        <f t="shared" si="77"/>
        <v>0.05</v>
      </c>
      <c r="BG138" s="137"/>
      <c r="BH138" s="138"/>
      <c r="BI138" s="137"/>
      <c r="BJ138" s="138"/>
    </row>
    <row r="139" spans="36:62" ht="16.5" customHeight="1">
      <c r="AL139" s="114"/>
      <c r="AM139" s="137">
        <f t="shared" si="100"/>
        <v>9.6</v>
      </c>
      <c r="AN139" s="138">
        <f t="shared" si="79"/>
        <v>1</v>
      </c>
      <c r="AO139" s="141">
        <f t="shared" si="109"/>
        <v>9.3068573241556418E-4</v>
      </c>
      <c r="AP139" s="139">
        <f t="shared" si="101"/>
        <v>21.313500960900271</v>
      </c>
      <c r="AQ139" s="137">
        <f t="shared" si="102"/>
        <v>9.6</v>
      </c>
      <c r="AR139" s="138">
        <f t="shared" si="80"/>
        <v>1</v>
      </c>
      <c r="AS139" s="141">
        <f t="shared" si="110"/>
        <v>1.3401654678769389E-3</v>
      </c>
      <c r="AT139" s="139">
        <f t="shared" si="103"/>
        <v>30.690937867097816</v>
      </c>
      <c r="AU139" s="137">
        <f t="shared" si="104"/>
        <v>9.6</v>
      </c>
      <c r="AV139" s="138">
        <f t="shared" si="81"/>
        <v>1</v>
      </c>
      <c r="AW139" s="141">
        <f t="shared" si="111"/>
        <v>5.7040967749495113E-3</v>
      </c>
      <c r="AX139" s="139">
        <f t="shared" si="105"/>
        <v>130.6287051144671</v>
      </c>
      <c r="AY139" s="137">
        <f t="shared" si="106"/>
        <v>9.6</v>
      </c>
      <c r="AZ139" s="138">
        <f t="shared" si="82"/>
        <v>1</v>
      </c>
      <c r="BA139" s="141">
        <f t="shared" si="112"/>
        <v>8.2615693562924294E-3</v>
      </c>
      <c r="BB139" s="139">
        <f t="shared" si="107"/>
        <v>189.197019231041</v>
      </c>
      <c r="BC139" s="137">
        <f t="shared" si="95"/>
        <v>9.6</v>
      </c>
      <c r="BD139" s="141">
        <f t="shared" si="108"/>
        <v>8.9344364525129267E-4</v>
      </c>
      <c r="BE139" s="138">
        <f t="shared" si="72"/>
        <v>9.6</v>
      </c>
      <c r="BF139" s="138">
        <f t="shared" si="77"/>
        <v>0.05</v>
      </c>
      <c r="BG139" s="137"/>
      <c r="BH139" s="138"/>
      <c r="BI139" s="137"/>
      <c r="BJ139" s="138"/>
    </row>
    <row r="140" spans="36:62" ht="16.5" customHeight="1">
      <c r="AL140" s="111" t="s">
        <v>260</v>
      </c>
      <c r="AM140" s="137">
        <f>$AE$6</f>
        <v>10</v>
      </c>
      <c r="AN140" s="138">
        <f t="shared" si="79"/>
        <v>1</v>
      </c>
      <c r="AO140" s="141">
        <f t="shared" si="109"/>
        <v>7.5503518573431653E-4</v>
      </c>
      <c r="AP140" s="139">
        <f t="shared" si="101"/>
        <v>18.761884648679814</v>
      </c>
      <c r="AQ140" s="137">
        <f>AM140</f>
        <v>10</v>
      </c>
      <c r="AR140" s="138">
        <f t="shared" si="80"/>
        <v>1</v>
      </c>
      <c r="AS140" s="141">
        <f t="shared" si="110"/>
        <v>1.0914603174225755E-3</v>
      </c>
      <c r="AT140" s="139">
        <f t="shared" si="103"/>
        <v>27.121719571489759</v>
      </c>
      <c r="AU140" s="137">
        <f>AM140</f>
        <v>10</v>
      </c>
      <c r="AV140" s="138">
        <f t="shared" si="81"/>
        <v>1</v>
      </c>
      <c r="AW140" s="141">
        <f t="shared" si="111"/>
        <v>4.6072704538067197E-3</v>
      </c>
      <c r="AX140" s="139">
        <f t="shared" si="105"/>
        <v>114.48615698025159</v>
      </c>
      <c r="AY140" s="137">
        <f>AM140</f>
        <v>10</v>
      </c>
      <c r="AZ140" s="138">
        <f t="shared" si="82"/>
        <v>1</v>
      </c>
      <c r="BA140" s="141">
        <f t="shared" si="112"/>
        <v>6.6525664646213201E-3</v>
      </c>
      <c r="BB140" s="139">
        <f t="shared" si="107"/>
        <v>165.3097590485286</v>
      </c>
      <c r="BC140" s="137">
        <f t="shared" si="95"/>
        <v>10</v>
      </c>
      <c r="BD140" s="141">
        <f t="shared" si="108"/>
        <v>7.2764021161505035E-4</v>
      </c>
      <c r="BE140" s="138">
        <f t="shared" si="72"/>
        <v>10</v>
      </c>
      <c r="BF140" s="138">
        <f t="shared" si="77"/>
        <v>0.05</v>
      </c>
      <c r="BG140" s="137"/>
      <c r="BH140" s="138"/>
      <c r="BI140" s="137"/>
      <c r="BJ140" s="138"/>
    </row>
    <row r="141" spans="36:62" ht="16.5" customHeight="1">
      <c r="AL141" s="114"/>
      <c r="AM141" s="137"/>
      <c r="AN141" s="138"/>
      <c r="AO141" s="138"/>
      <c r="AP141" s="139"/>
      <c r="AQ141" s="137"/>
      <c r="AR141" s="138"/>
      <c r="AS141" s="138"/>
      <c r="AT141" s="139"/>
      <c r="AU141" s="137"/>
      <c r="AV141" s="138"/>
      <c r="AW141" s="138"/>
      <c r="AX141" s="139"/>
      <c r="AY141" s="137"/>
      <c r="AZ141" s="138"/>
      <c r="BA141" s="138"/>
      <c r="BB141" s="139"/>
      <c r="BC141" s="137"/>
      <c r="BD141" s="138"/>
      <c r="BE141" s="138"/>
      <c r="BF141" s="138"/>
      <c r="BG141" s="137"/>
      <c r="BH141" s="138"/>
      <c r="BI141" s="137"/>
      <c r="BJ141" s="138"/>
    </row>
    <row r="152" spans="56:58" ht="16.5" customHeight="1">
      <c r="BD152" s="138"/>
      <c r="BE152" s="138"/>
      <c r="BF152" s="138"/>
    </row>
    <row r="242" spans="3:3" ht="16.5" customHeight="1">
      <c r="C242" s="108" t="s">
        <v>169</v>
      </c>
    </row>
  </sheetData>
  <sheetProtection sheet="1" selectLockedCells="1"/>
  <protectedRanges>
    <protectedRange sqref="B12:B13 E12:E13" name="Intervallo5_1"/>
  </protectedRanges>
  <mergeCells count="6">
    <mergeCell ref="AA19:AC19"/>
    <mergeCell ref="AA1:AE1"/>
    <mergeCell ref="B3:E3"/>
    <mergeCell ref="F5:I5"/>
    <mergeCell ref="AA9:AC9"/>
    <mergeCell ref="AA13:AC13"/>
  </mergeCells>
  <conditionalFormatting sqref="D12">
    <cfRule type="expression" dxfId="87" priority="7">
      <formula>OR($B$12="T1",$B$12="")</formula>
    </cfRule>
    <cfRule type="expression" dxfId="86" priority="8">
      <formula>OR($B$12="T1",$B$12="")</formula>
    </cfRule>
  </conditionalFormatting>
  <conditionalFormatting sqref="D13 D23">
    <cfRule type="expression" dxfId="85" priority="6">
      <formula>$A$26="ordinaria"</formula>
    </cfRule>
  </conditionalFormatting>
  <conditionalFormatting sqref="D13">
    <cfRule type="expression" dxfId="84" priority="5">
      <formula>$A$26="ordinaria"</formula>
    </cfRule>
  </conditionalFormatting>
  <conditionalFormatting sqref="D23:E23">
    <cfRule type="expression" dxfId="83" priority="4">
      <formula>$A$26="ordinaria"</formula>
    </cfRule>
  </conditionalFormatting>
  <conditionalFormatting sqref="E12">
    <cfRule type="expression" dxfId="82" priority="1">
      <formula>$E$12=0</formula>
    </cfRule>
  </conditionalFormatting>
  <conditionalFormatting sqref="F5 F6:I10">
    <cfRule type="expression" dxfId="81" priority="3">
      <formula>AND($E$14&lt;&gt;"",$E$14&lt;&gt;"II")</formula>
    </cfRule>
  </conditionalFormatting>
  <conditionalFormatting sqref="F7:I10">
    <cfRule type="expression" dxfId="80" priority="2">
      <formula>AND($E$14&lt;&gt;"II",$E$14&lt;&gt;"")</formula>
    </cfRule>
  </conditionalFormatting>
  <dataValidations count="1">
    <dataValidation type="list" allowBlank="1" showInputMessage="1" showErrorMessage="1" sqref="A26" xr:uid="{62F94396-7F4D-4B0D-B4D6-9A8170A57283}">
      <formula1>"ordinaria,isolata alla base"</formula1>
    </dataValidation>
  </dataValidations>
  <pageMargins left="0.7" right="0.7" top="0.75" bottom="0.75" header="0.3" footer="0.3"/>
  <pageSetup paperSize="9" orientation="portrait" r:id="rId1"/>
  <ignoredErrors>
    <ignoredError sqref="AN15:BE17" formula="1"/>
  </ignoredErrors>
  <drawing r:id="rId2"/>
  <legacyDrawing r:id="rId3"/>
  <oleObjects>
    <mc:AlternateContent xmlns:mc="http://schemas.openxmlformats.org/markup-compatibility/2006">
      <mc:Choice Requires="x14">
        <oleObject progId="Equation.DSMT4" shapeId="6145" r:id="rId4">
          <objectPr defaultSize="0" r:id="rId5">
            <anchor moveWithCells="1">
              <from>
                <xdr:col>31</xdr:col>
                <xdr:colOff>42863</xdr:colOff>
                <xdr:row>0</xdr:row>
                <xdr:rowOff>90488</xdr:rowOff>
              </from>
              <to>
                <xdr:col>34</xdr:col>
                <xdr:colOff>142875</xdr:colOff>
                <xdr:row>2</xdr:row>
                <xdr:rowOff>166688</xdr:rowOff>
              </to>
            </anchor>
          </objectPr>
        </oleObject>
      </mc:Choice>
      <mc:Fallback>
        <oleObject progId="Equation.DSMT4" shapeId="6145" r:id="rId4"/>
      </mc:Fallback>
    </mc:AlternateContent>
    <mc:AlternateContent xmlns:mc="http://schemas.openxmlformats.org/markup-compatibility/2006">
      <mc:Choice Requires="x14">
        <oleObject progId="Equation.DSMT4" shapeId="6146" r:id="rId6">
          <objectPr defaultSize="0" r:id="rId7">
            <anchor moveWithCells="1">
              <from>
                <xdr:col>31</xdr:col>
                <xdr:colOff>42863</xdr:colOff>
                <xdr:row>3</xdr:row>
                <xdr:rowOff>19050</xdr:rowOff>
              </from>
              <to>
                <xdr:col>32</xdr:col>
                <xdr:colOff>623888</xdr:colOff>
                <xdr:row>4</xdr:row>
                <xdr:rowOff>166688</xdr:rowOff>
              </to>
            </anchor>
          </objectPr>
        </oleObject>
      </mc:Choice>
      <mc:Fallback>
        <oleObject progId="Equation.DSMT4" shapeId="6146" r:id="rId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2"/>
  <sheetViews>
    <sheetView workbookViewId="0">
      <selection activeCell="L3" sqref="L3:M3"/>
    </sheetView>
  </sheetViews>
  <sheetFormatPr defaultRowHeight="16.5" customHeight="1"/>
  <cols>
    <col min="1" max="1" width="18.73046875" style="34" customWidth="1"/>
    <col min="2" max="8" width="10.73046875" style="34" customWidth="1"/>
    <col min="9" max="16384" width="9.06640625" style="34"/>
  </cols>
  <sheetData>
    <row r="1" spans="1:15" ht="16.5" customHeight="1">
      <c r="A1" s="32" t="s">
        <v>23</v>
      </c>
    </row>
    <row r="2" spans="1:15" ht="16.5" customHeight="1">
      <c r="A2" s="33"/>
    </row>
    <row r="3" spans="1:15" ht="16.5" customHeight="1">
      <c r="A3" s="31" t="s">
        <v>24</v>
      </c>
      <c r="C3" s="43" t="s">
        <v>25</v>
      </c>
      <c r="D3" s="67">
        <v>5</v>
      </c>
      <c r="K3" s="43" t="s">
        <v>181</v>
      </c>
      <c r="L3" s="160" t="s">
        <v>172</v>
      </c>
      <c r="M3" s="160"/>
      <c r="N3" s="161" t="s">
        <v>176</v>
      </c>
      <c r="O3" s="161"/>
    </row>
    <row r="4" spans="1:15" ht="16.5" customHeight="1">
      <c r="K4" s="43" t="s">
        <v>83</v>
      </c>
      <c r="L4" s="67">
        <v>0.12</v>
      </c>
      <c r="M4" s="34" t="s">
        <v>84</v>
      </c>
      <c r="N4" s="161" t="s">
        <v>179</v>
      </c>
      <c r="O4" s="161"/>
    </row>
    <row r="5" spans="1:15" ht="16.5" customHeight="1">
      <c r="E5" s="39" t="s">
        <v>72</v>
      </c>
      <c r="F5" s="39"/>
    </row>
    <row r="6" spans="1:15" ht="16.5" customHeight="1">
      <c r="C6" s="39" t="s">
        <v>71</v>
      </c>
      <c r="E6" s="39" t="s">
        <v>73</v>
      </c>
      <c r="F6" s="39" t="s">
        <v>135</v>
      </c>
      <c r="G6" s="39" t="s">
        <v>30</v>
      </c>
      <c r="H6" s="39" t="s">
        <v>31</v>
      </c>
    </row>
    <row r="7" spans="1:15" ht="16.5" customHeight="1">
      <c r="B7" s="39" t="s">
        <v>27</v>
      </c>
      <c r="C7" s="39" t="s">
        <v>26</v>
      </c>
      <c r="D7" s="39" t="s">
        <v>69</v>
      </c>
      <c r="E7" s="39" t="s">
        <v>74</v>
      </c>
      <c r="F7" s="39" t="s">
        <v>69</v>
      </c>
      <c r="G7" s="39" t="s">
        <v>29</v>
      </c>
      <c r="H7" s="39" t="s">
        <v>192</v>
      </c>
      <c r="I7" s="39" t="s">
        <v>32</v>
      </c>
      <c r="K7" s="68" t="s">
        <v>177</v>
      </c>
    </row>
    <row r="8" spans="1:15" ht="16.5" customHeight="1">
      <c r="B8" s="56">
        <v>8</v>
      </c>
      <c r="C8" s="69">
        <v>26</v>
      </c>
      <c r="D8" s="58">
        <f t="shared" ref="D8:D13" si="0">C8-C9</f>
        <v>3.1999999999999993</v>
      </c>
      <c r="E8" s="58" t="str">
        <f t="shared" ref="E8:E13" si="1">IF($B8&gt;$D$3,"",E9+D8)</f>
        <v/>
      </c>
      <c r="F8" s="58" t="str">
        <f>IF(E8="","",E8-IF(E9="",0,E9))</f>
        <v/>
      </c>
      <c r="G8" s="70">
        <v>1</v>
      </c>
      <c r="H8" s="70">
        <v>1</v>
      </c>
      <c r="I8" s="58" t="str">
        <f>IF(OR($B8&gt;$D$3,H8=""),"",G8/H8)</f>
        <v/>
      </c>
      <c r="K8" s="68" t="s">
        <v>178</v>
      </c>
    </row>
    <row r="9" spans="1:15" ht="16.5" customHeight="1">
      <c r="B9" s="56">
        <v>7</v>
      </c>
      <c r="C9" s="69">
        <v>22.8</v>
      </c>
      <c r="D9" s="58">
        <f t="shared" si="0"/>
        <v>3.1999999999999993</v>
      </c>
      <c r="E9" s="58" t="str">
        <f t="shared" si="1"/>
        <v/>
      </c>
      <c r="F9" s="58" t="str">
        <f t="shared" ref="F9:F15" si="2">IF(E9="","",E9-IF(E10="",0,E10))</f>
        <v/>
      </c>
      <c r="G9" s="70">
        <v>1</v>
      </c>
      <c r="H9" s="70">
        <v>1</v>
      </c>
      <c r="I9" s="58" t="str">
        <f t="shared" ref="I9:I15" si="3">IF(OR($B9&gt;$D$3,H9=""),"",G9/H9)</f>
        <v/>
      </c>
      <c r="K9" s="71" t="s">
        <v>193</v>
      </c>
    </row>
    <row r="10" spans="1:15" ht="16.5" customHeight="1">
      <c r="B10" s="56">
        <v>6</v>
      </c>
      <c r="C10" s="69">
        <v>19.600000000000001</v>
      </c>
      <c r="D10" s="58">
        <f t="shared" si="0"/>
        <v>3.2000000000000028</v>
      </c>
      <c r="E10" s="58" t="str">
        <f t="shared" si="1"/>
        <v/>
      </c>
      <c r="F10" s="58" t="str">
        <f t="shared" si="2"/>
        <v/>
      </c>
      <c r="G10" s="70">
        <v>1</v>
      </c>
      <c r="H10" s="70">
        <v>1</v>
      </c>
      <c r="I10" s="58" t="str">
        <f t="shared" si="3"/>
        <v/>
      </c>
      <c r="K10" s="71" t="s">
        <v>194</v>
      </c>
    </row>
    <row r="11" spans="1:15" ht="16.5" customHeight="1">
      <c r="B11" s="56">
        <v>5</v>
      </c>
      <c r="C11" s="69">
        <v>16.399999999999999</v>
      </c>
      <c r="D11" s="58">
        <f t="shared" si="0"/>
        <v>3.1999999999999993</v>
      </c>
      <c r="E11" s="58">
        <f t="shared" si="1"/>
        <v>16.279999999999998</v>
      </c>
      <c r="F11" s="58">
        <f t="shared" si="2"/>
        <v>3.1999999999999993</v>
      </c>
      <c r="G11" s="70">
        <v>3419</v>
      </c>
      <c r="H11" s="70">
        <v>379.9</v>
      </c>
      <c r="I11" s="58">
        <f t="shared" si="3"/>
        <v>8.9997367728349573</v>
      </c>
      <c r="K11" s="71" t="s">
        <v>195</v>
      </c>
    </row>
    <row r="12" spans="1:15" ht="16.5" customHeight="1">
      <c r="B12" s="56">
        <v>4</v>
      </c>
      <c r="C12" s="69">
        <v>13.2</v>
      </c>
      <c r="D12" s="58">
        <f t="shared" si="0"/>
        <v>3.1999999999999993</v>
      </c>
      <c r="E12" s="58">
        <f t="shared" si="1"/>
        <v>13.079999999999998</v>
      </c>
      <c r="F12" s="58">
        <f t="shared" si="2"/>
        <v>3.1999999999999993</v>
      </c>
      <c r="G12" s="70">
        <v>3235</v>
      </c>
      <c r="H12" s="70">
        <v>323.5</v>
      </c>
      <c r="I12" s="58">
        <f t="shared" si="3"/>
        <v>10</v>
      </c>
    </row>
    <row r="13" spans="1:15" ht="16.5" customHeight="1">
      <c r="B13" s="56">
        <v>3</v>
      </c>
      <c r="C13" s="69">
        <v>10</v>
      </c>
      <c r="D13" s="58">
        <f t="shared" si="0"/>
        <v>3.2</v>
      </c>
      <c r="E13" s="58">
        <f t="shared" si="1"/>
        <v>9.879999999999999</v>
      </c>
      <c r="F13" s="58">
        <f t="shared" si="2"/>
        <v>3.1999999999999993</v>
      </c>
      <c r="G13" s="70">
        <v>3235</v>
      </c>
      <c r="H13" s="70">
        <v>323.5</v>
      </c>
      <c r="I13" s="58">
        <f t="shared" si="3"/>
        <v>10</v>
      </c>
      <c r="K13" s="34" t="s">
        <v>180</v>
      </c>
    </row>
    <row r="14" spans="1:15" ht="16.5" customHeight="1">
      <c r="B14" s="56">
        <v>2</v>
      </c>
      <c r="C14" s="69">
        <v>6.8</v>
      </c>
      <c r="D14" s="58">
        <f>C14-C15</f>
        <v>3.1999999999999997</v>
      </c>
      <c r="E14" s="58">
        <f>IF($B14&gt;$D$3,"",IF(L3="si",D14-$L$4,C14-$L$4))</f>
        <v>6.68</v>
      </c>
      <c r="F14" s="58">
        <f t="shared" si="2"/>
        <v>3.1999999999999997</v>
      </c>
      <c r="G14" s="70">
        <v>3235</v>
      </c>
      <c r="H14" s="70">
        <v>323.5</v>
      </c>
      <c r="I14" s="58">
        <f t="shared" si="3"/>
        <v>10</v>
      </c>
      <c r="K14" s="34" t="s">
        <v>182</v>
      </c>
    </row>
    <row r="15" spans="1:15" ht="16.5" customHeight="1">
      <c r="B15" s="56">
        <v>1</v>
      </c>
      <c r="C15" s="69">
        <v>3.6</v>
      </c>
      <c r="D15" s="58">
        <f>C15</f>
        <v>3.6</v>
      </c>
      <c r="E15" s="58">
        <f>IF(OR($B15&gt;$D$3,L3="si"),"",C15-$L$4)</f>
        <v>3.48</v>
      </c>
      <c r="F15" s="58">
        <f t="shared" si="2"/>
        <v>3.48</v>
      </c>
      <c r="G15" s="70">
        <v>2632</v>
      </c>
      <c r="H15" s="70">
        <v>263.2</v>
      </c>
      <c r="I15" s="58">
        <f t="shared" si="3"/>
        <v>10</v>
      </c>
      <c r="K15" s="71" t="s">
        <v>196</v>
      </c>
    </row>
    <row r="16" spans="1:15" ht="16.5" customHeight="1">
      <c r="K16" s="71" t="s">
        <v>197</v>
      </c>
    </row>
    <row r="17" spans="2:16" ht="16.5" customHeight="1">
      <c r="K17" s="71" t="s">
        <v>198</v>
      </c>
    </row>
    <row r="18" spans="2:16" ht="16.5" customHeight="1">
      <c r="B18" s="34" t="s">
        <v>70</v>
      </c>
    </row>
    <row r="19" spans="2:16" ht="16.5" customHeight="1">
      <c r="B19" s="34" t="str">
        <f>CONCATENATE("(**) nel modello l'incastro corrisponde all'estradosso del",IF(L3="si"," primo impalcato","la fondazione"))</f>
        <v>(**) nel modello l'incastro corrisponde all'estradosso della fondazione</v>
      </c>
    </row>
    <row r="20" spans="2:16" ht="16.5" customHeight="1">
      <c r="B20" s="34" t="s">
        <v>85</v>
      </c>
      <c r="M20" s="43" t="s">
        <v>288</v>
      </c>
      <c r="N20" s="161" t="s">
        <v>300</v>
      </c>
      <c r="O20" s="161"/>
      <c r="P20" s="161"/>
    </row>
    <row r="21" spans="2:16" ht="16.5" customHeight="1">
      <c r="B21" s="34" t="s">
        <v>86</v>
      </c>
      <c r="K21" s="39" t="s">
        <v>289</v>
      </c>
      <c r="L21" s="74">
        <v>25.6</v>
      </c>
      <c r="M21" s="34" t="s">
        <v>28</v>
      </c>
      <c r="N21" s="39" t="s">
        <v>291</v>
      </c>
      <c r="O21" s="52">
        <f>0.05*L21</f>
        <v>1.2800000000000002</v>
      </c>
      <c r="P21" s="34" t="s">
        <v>28</v>
      </c>
    </row>
    <row r="22" spans="2:16" ht="16.5" customHeight="1">
      <c r="K22" s="39" t="s">
        <v>290</v>
      </c>
      <c r="L22" s="74">
        <v>17.399999999999999</v>
      </c>
      <c r="M22" s="34" t="s">
        <v>28</v>
      </c>
      <c r="N22" s="39" t="s">
        <v>292</v>
      </c>
      <c r="O22" s="52">
        <f>0.05*L22</f>
        <v>0.87</v>
      </c>
      <c r="P22" s="34" t="s">
        <v>28</v>
      </c>
    </row>
  </sheetData>
  <sheetProtection sheet="1" selectLockedCells="1"/>
  <mergeCells count="4">
    <mergeCell ref="L3:M3"/>
    <mergeCell ref="N3:O3"/>
    <mergeCell ref="N4:O4"/>
    <mergeCell ref="N20:P20"/>
  </mergeCells>
  <phoneticPr fontId="19" type="noConversion"/>
  <conditionalFormatting sqref="B8:D15">
    <cfRule type="expression" dxfId="79" priority="2">
      <formula>$B8&gt;$D$3</formula>
    </cfRule>
  </conditionalFormatting>
  <conditionalFormatting sqref="C8:C15">
    <cfRule type="expression" dxfId="78" priority="1">
      <formula>$B8&gt;$D$3</formula>
    </cfRule>
  </conditionalFormatting>
  <conditionalFormatting sqref="D8:D15">
    <cfRule type="expression" dxfId="77" priority="5">
      <formula>$C8=""</formula>
    </cfRule>
  </conditionalFormatting>
  <conditionalFormatting sqref="F8:F15">
    <cfRule type="expression" dxfId="76" priority="4">
      <formula>$C8=""</formula>
    </cfRule>
  </conditionalFormatting>
  <conditionalFormatting sqref="G8:H15">
    <cfRule type="expression" dxfId="75" priority="6">
      <formula>$B8&gt;$D$3</formula>
    </cfRule>
  </conditionalFormatting>
  <dataValidations count="1">
    <dataValidation type="list" allowBlank="1" showInputMessage="1" showErrorMessage="1" sqref="L3" xr:uid="{00000000-0002-0000-0300-000000000000}">
      <formula1>"si,si con isolamento,,no"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4"/>
  <sheetViews>
    <sheetView workbookViewId="0">
      <selection activeCell="D5" sqref="D5"/>
    </sheetView>
  </sheetViews>
  <sheetFormatPr defaultColWidth="9.1328125" defaultRowHeight="17" customHeight="1"/>
  <cols>
    <col min="1" max="2" width="9.1328125" style="34"/>
    <col min="3" max="3" width="9.53125" style="34" bestFit="1" customWidth="1"/>
    <col min="4" max="16384" width="9.1328125" style="34"/>
  </cols>
  <sheetData>
    <row r="1" spans="1:14" ht="17" customHeight="1">
      <c r="A1" s="72" t="s">
        <v>33</v>
      </c>
      <c r="H1" s="93">
        <f>IF('Geom e masse'!L3="si",1,IF('Geom e masse'!L3="no",3,2))</f>
        <v>3</v>
      </c>
      <c r="I1" s="34" t="str">
        <f>CONCATENATE(IF(H1=1,"pareti",IF(H1=2,"par+iso","no pareti"))," (da Geom e masse)")</f>
        <v>no pareti (da Geom e masse)</v>
      </c>
      <c r="M1" s="93">
        <f>'Geom e masse'!D3</f>
        <v>5</v>
      </c>
      <c r="N1" s="34" t="s">
        <v>284</v>
      </c>
    </row>
    <row r="3" spans="1:14" ht="17" customHeight="1">
      <c r="A3" s="36" t="s">
        <v>34</v>
      </c>
    </row>
    <row r="5" spans="1:14" ht="17" customHeight="1">
      <c r="B5" s="37" t="s">
        <v>35</v>
      </c>
      <c r="D5" s="38" t="s">
        <v>31</v>
      </c>
      <c r="F5" s="39" t="s">
        <v>184</v>
      </c>
      <c r="G5" s="39">
        <f>IF(D5="A",4.5,3)</f>
        <v>4.5</v>
      </c>
    </row>
    <row r="6" spans="1:14" ht="17" customHeight="1">
      <c r="B6" s="37" t="s">
        <v>36</v>
      </c>
      <c r="D6" s="38" t="s">
        <v>37</v>
      </c>
      <c r="F6" s="66" t="s">
        <v>189</v>
      </c>
      <c r="G6" s="39">
        <f>IF(D6="si",1.3,1.15)</f>
        <v>1.3</v>
      </c>
    </row>
    <row r="7" spans="1:14" ht="17" customHeight="1">
      <c r="B7" s="37" t="s">
        <v>38</v>
      </c>
      <c r="D7" s="38" t="s">
        <v>37</v>
      </c>
      <c r="F7" s="40" t="s">
        <v>185</v>
      </c>
      <c r="G7" s="39">
        <f>IF(D7="si",1,0.8)</f>
        <v>1</v>
      </c>
    </row>
    <row r="9" spans="1:14" ht="17" customHeight="1">
      <c r="C9" s="41" t="s">
        <v>144</v>
      </c>
      <c r="D9" s="42">
        <f>IF(H1=2,1.5,G5*G6*G7)</f>
        <v>5.8500000000000005</v>
      </c>
    </row>
    <row r="10" spans="1:14" ht="17" customHeight="1">
      <c r="H10" s="43" t="s">
        <v>65</v>
      </c>
      <c r="I10" s="39" t="s">
        <v>190</v>
      </c>
      <c r="J10" s="39">
        <v>7.4999999999999997E-2</v>
      </c>
    </row>
    <row r="11" spans="1:14" ht="17" customHeight="1">
      <c r="A11" s="34" t="s">
        <v>145</v>
      </c>
      <c r="C11" s="43" t="s">
        <v>41</v>
      </c>
      <c r="D11" s="38">
        <v>0.61099999999999999</v>
      </c>
      <c r="E11" s="34" t="s">
        <v>43</v>
      </c>
      <c r="F11" s="44" t="str">
        <f>IF(D11=0,"indicare il periodo proprio x","")</f>
        <v/>
      </c>
      <c r="I11" s="39" t="s">
        <v>44</v>
      </c>
      <c r="J11" s="45">
        <f>MAX('Geom e masse'!E8:E15)-IF('Geom e masse'!L3="si con isolamento",'Geom e masse'!E15,0)</f>
        <v>16.279999999999998</v>
      </c>
      <c r="K11" s="34" t="s">
        <v>28</v>
      </c>
      <c r="L11" s="34" t="s">
        <v>285</v>
      </c>
    </row>
    <row r="12" spans="1:14" ht="17" customHeight="1">
      <c r="C12" s="43" t="s">
        <v>42</v>
      </c>
      <c r="D12" s="38">
        <v>0.61099999999999999</v>
      </c>
      <c r="E12" s="34" t="s">
        <v>43</v>
      </c>
      <c r="F12" s="44" t="str">
        <f>IF(D12=0,"indicare il periodo proprio y","")</f>
        <v/>
      </c>
      <c r="I12" s="39" t="s">
        <v>191</v>
      </c>
      <c r="J12" s="46">
        <f>J10*J11^0.75</f>
        <v>0.60785789782526745</v>
      </c>
      <c r="K12" s="34" t="s">
        <v>43</v>
      </c>
    </row>
    <row r="13" spans="1:14" ht="17" customHeight="1">
      <c r="F13" s="47"/>
    </row>
    <row r="14" spans="1:14" ht="17" customHeight="1">
      <c r="A14" s="34" t="str">
        <f>IF(H1=2,"isolato","")</f>
        <v/>
      </c>
      <c r="C14" s="43" t="str">
        <f>IF(H1=2,"periodo proprio x","")</f>
        <v/>
      </c>
      <c r="D14" s="48">
        <v>2</v>
      </c>
      <c r="E14" s="34" t="str">
        <f>IF(H1=2,"s","")</f>
        <v/>
      </c>
      <c r="F14" s="49" t="str">
        <f>IF(AND(H1=2,D14&lt;3*MAX(D11:D12)),"deve essere almento 3 volte quello dello schema a base fissa","")</f>
        <v/>
      </c>
    </row>
    <row r="15" spans="1:14" ht="17" customHeight="1">
      <c r="C15" s="43" t="str">
        <f>IF(H1=2,"periodo proprio y","")</f>
        <v/>
      </c>
      <c r="D15" s="39" t="str">
        <f>IF(H1=2,IF(D14="","",D14),"")</f>
        <v/>
      </c>
      <c r="E15" s="34" t="str">
        <f>IF(H1=2,"s","")</f>
        <v/>
      </c>
      <c r="F15" s="47"/>
    </row>
    <row r="16" spans="1:14" ht="17" customHeight="1">
      <c r="C16" s="43"/>
      <c r="D16" s="39"/>
      <c r="F16" s="47"/>
    </row>
    <row r="17" spans="1:14" ht="17" customHeight="1">
      <c r="C17" s="43" t="s">
        <v>146</v>
      </c>
      <c r="D17" s="50">
        <v>0.05</v>
      </c>
      <c r="F17" s="47"/>
    </row>
    <row r="18" spans="1:14" ht="17" customHeight="1">
      <c r="C18" s="43" t="str">
        <f>IF(H1=2,"smorzamento isolatori","")</f>
        <v/>
      </c>
      <c r="D18" s="51">
        <v>0.09</v>
      </c>
      <c r="E18" s="44"/>
      <c r="F18" s="47"/>
    </row>
    <row r="19" spans="1:14" ht="17" customHeight="1">
      <c r="F19" s="47"/>
    </row>
    <row r="20" spans="1:14" ht="17" customHeight="1">
      <c r="C20" s="41" t="s">
        <v>39</v>
      </c>
    </row>
    <row r="21" spans="1:14" ht="17" customHeight="1">
      <c r="C21" s="41" t="s">
        <v>147</v>
      </c>
      <c r="D21" s="52">
        <f>IF(MIN('Spettri x'!E26,'Spettri y'!E26)=0,"",MIN('Spettri x'!E26,'Spettri y'!E26))</f>
        <v>4.8858393660308961</v>
      </c>
    </row>
    <row r="22" spans="1:14" ht="17" customHeight="1">
      <c r="K22" s="161" t="s">
        <v>300</v>
      </c>
      <c r="L22" s="161"/>
      <c r="M22" s="161"/>
      <c r="N22" s="161"/>
    </row>
    <row r="23" spans="1:14" ht="17" customHeight="1">
      <c r="B23" s="41" t="s">
        <v>87</v>
      </c>
      <c r="C23" s="39" t="s">
        <v>40</v>
      </c>
      <c r="D23" s="38">
        <v>4.7</v>
      </c>
      <c r="E23" s="53" t="str">
        <f>IF(D23&lt;1,"  indicare un valore per q",IF(D23&gt;D9,"  valore non consentito dalla normativa",IF(D23&gt;D21,"  valore consentito dalla normativa, ma possibili danni strutturali allo SLD","")))</f>
        <v/>
      </c>
      <c r="F23" s="44"/>
      <c r="K23" s="41" t="s">
        <v>293</v>
      </c>
      <c r="L23" s="40" t="s">
        <v>298</v>
      </c>
      <c r="M23" s="155">
        <f>'Geom e masse'!O22</f>
        <v>0.87</v>
      </c>
      <c r="N23" s="37" t="s">
        <v>28</v>
      </c>
    </row>
    <row r="24" spans="1:14" ht="17" customHeight="1">
      <c r="B24" s="41" t="s">
        <v>88</v>
      </c>
      <c r="C24" s="39" t="s">
        <v>40</v>
      </c>
      <c r="D24" s="38">
        <v>4.7</v>
      </c>
      <c r="E24" s="53" t="str">
        <f>IF(D24&lt;1,"  indicare un valore per q",IF(D24&gt;D9,"  valore non consentito dalla normativa",IF(D24&gt;D21,"  valore consentito dalla normativa, ma possibili danni strutturali allo SLD","")))</f>
        <v/>
      </c>
      <c r="F24" s="44"/>
      <c r="K24" s="41" t="s">
        <v>294</v>
      </c>
      <c r="L24" s="40" t="s">
        <v>299</v>
      </c>
      <c r="M24" s="155">
        <f>'Geom e masse'!O21</f>
        <v>1.2800000000000002</v>
      </c>
      <c r="N24" s="37" t="s">
        <v>28</v>
      </c>
    </row>
    <row r="27" spans="1:14" ht="17" customHeight="1">
      <c r="A27" s="36" t="s">
        <v>60</v>
      </c>
      <c r="E27" s="36" t="s">
        <v>49</v>
      </c>
      <c r="K27" s="161" t="s">
        <v>296</v>
      </c>
      <c r="L27" s="161"/>
      <c r="M27" s="161"/>
      <c r="N27" s="161"/>
    </row>
    <row r="29" spans="1:14" ht="17" customHeight="1">
      <c r="A29" s="34" t="s">
        <v>45</v>
      </c>
      <c r="E29" s="39" t="s">
        <v>50</v>
      </c>
      <c r="F29" s="39" t="s">
        <v>30</v>
      </c>
      <c r="G29" s="39" t="s">
        <v>51</v>
      </c>
      <c r="H29" s="39" t="s">
        <v>302</v>
      </c>
      <c r="I29" s="39" t="s">
        <v>303</v>
      </c>
      <c r="J29" s="39" t="s">
        <v>304</v>
      </c>
      <c r="L29" s="40" t="s">
        <v>297</v>
      </c>
    </row>
    <row r="30" spans="1:14" ht="17" customHeight="1">
      <c r="A30" s="34" t="s">
        <v>46</v>
      </c>
      <c r="B30" s="54" t="s">
        <v>186</v>
      </c>
      <c r="C30" s="55">
        <f>IF('Spettri x'!H29="","",ROUND('Spettri x'!H29,4))</f>
        <v>0.1487</v>
      </c>
      <c r="D30" s="34" t="s">
        <v>47</v>
      </c>
      <c r="F30" s="39" t="s">
        <v>52</v>
      </c>
      <c r="G30" s="39" t="s">
        <v>53</v>
      </c>
      <c r="H30" s="39" t="s">
        <v>54</v>
      </c>
      <c r="I30" s="39" t="s">
        <v>52</v>
      </c>
      <c r="J30" s="39" t="s">
        <v>52</v>
      </c>
      <c r="L30" s="40" t="s">
        <v>295</v>
      </c>
    </row>
    <row r="31" spans="1:14" ht="17" customHeight="1">
      <c r="A31" s="34" t="s">
        <v>48</v>
      </c>
      <c r="B31" s="54" t="s">
        <v>187</v>
      </c>
      <c r="C31" s="55">
        <f>IF('Spettri x'!H24="","",ROUND('Spettri x'!H24,4))</f>
        <v>0.21460000000000001</v>
      </c>
      <c r="D31" s="34" t="s">
        <v>47</v>
      </c>
      <c r="E31" s="56" t="str">
        <f>IF(8&lt;=$M$1,8,"")</f>
        <v/>
      </c>
      <c r="F31" s="57" t="str">
        <f>IF($E31="","",'Geom e masse'!G8)</f>
        <v/>
      </c>
      <c r="G31" s="58" t="str">
        <f>IF($E31="","",'Geom e masse'!E8)</f>
        <v/>
      </c>
      <c r="H31" s="59" t="str">
        <f>IF($E31="","",F31*G31)</f>
        <v/>
      </c>
      <c r="I31" s="60" t="str">
        <f t="shared" ref="I31:I33" si="0">IF($E31="","",IF($H$1=2,F31*$C$30,H31/$H$39*$C$34))</f>
        <v/>
      </c>
      <c r="J31" s="57" t="str">
        <f>IF($E31="","",I31)</f>
        <v/>
      </c>
      <c r="L31" s="37"/>
    </row>
    <row r="32" spans="1:14" ht="17" customHeight="1">
      <c r="E32" s="56" t="str">
        <f>IF(7&lt;=$M$1,7,"")</f>
        <v/>
      </c>
      <c r="F32" s="57" t="str">
        <f>IF($E32="","",'Geom e masse'!G9)</f>
        <v/>
      </c>
      <c r="G32" s="58" t="str">
        <f>IF($E32="","",'Geom e masse'!E9)</f>
        <v/>
      </c>
      <c r="H32" s="59" t="str">
        <f t="shared" ref="H32:H38" si="1">IF($E32="","",F32*G32)</f>
        <v/>
      </c>
      <c r="I32" s="60" t="str">
        <f t="shared" si="0"/>
        <v/>
      </c>
      <c r="J32" s="57" t="str">
        <f>IF($E32="","",IF(J31="",0,J31)+I32)</f>
        <v/>
      </c>
      <c r="L32" s="37"/>
    </row>
    <row r="33" spans="1:12" ht="17" customHeight="1">
      <c r="A33" s="34" t="s">
        <v>89</v>
      </c>
      <c r="E33" s="56" t="str">
        <f>IF(6&lt;=$M$1,6,"")</f>
        <v/>
      </c>
      <c r="F33" s="57" t="str">
        <f>IF($E33="","",'Geom e masse'!G10)</f>
        <v/>
      </c>
      <c r="G33" s="58" t="str">
        <f>IF($E33="","",'Geom e masse'!E10)</f>
        <v/>
      </c>
      <c r="H33" s="59" t="str">
        <f t="shared" si="1"/>
        <v/>
      </c>
      <c r="I33" s="60" t="str">
        <f t="shared" si="0"/>
        <v/>
      </c>
      <c r="J33" s="57" t="str">
        <f t="shared" ref="J33:J38" si="2">IF($E33="","",IF(J32="",0,J32)+I33)</f>
        <v/>
      </c>
      <c r="L33" s="37"/>
    </row>
    <row r="34" spans="1:12" ht="17" customHeight="1">
      <c r="A34" s="34" t="s">
        <v>46</v>
      </c>
      <c r="B34" s="39" t="s">
        <v>188</v>
      </c>
      <c r="C34" s="61">
        <f>IF(C30="","",F39*C30*IF('Geom e masse'!L3="si con isolamento",1,0.85))</f>
        <v>1991.4796199999998</v>
      </c>
      <c r="D34" s="34" t="s">
        <v>56</v>
      </c>
      <c r="E34" s="56">
        <f>IF(5&lt;=$M$1,5,"")</f>
        <v>5</v>
      </c>
      <c r="F34" s="57">
        <f>IF($E34="","",'Geom e masse'!G11)</f>
        <v>3419</v>
      </c>
      <c r="G34" s="58">
        <f>IF($E34="","",'Geom e masse'!E11)</f>
        <v>16.279999999999998</v>
      </c>
      <c r="H34" s="59">
        <f t="shared" si="1"/>
        <v>55661.319999999992</v>
      </c>
      <c r="I34" s="60">
        <f t="shared" ref="I34:I36" si="3">IF($E34="","",IF($H$1=2,F34*$C$30,H34/$H$39*$C$34))</f>
        <v>689.75849826153683</v>
      </c>
      <c r="J34" s="57">
        <f t="shared" si="2"/>
        <v>689.75849826153683</v>
      </c>
      <c r="L34" s="154">
        <f>I34*$M$23</f>
        <v>600.08989348753698</v>
      </c>
    </row>
    <row r="35" spans="1:12" ht="17" customHeight="1">
      <c r="E35" s="56">
        <f>IF(4&lt;=$M$1,4,"")</f>
        <v>4</v>
      </c>
      <c r="F35" s="57">
        <f>IF($E35="","",'Geom e masse'!G12)</f>
        <v>3235</v>
      </c>
      <c r="G35" s="58">
        <f>IF($E35="","",'Geom e masse'!E12)</f>
        <v>13.079999999999998</v>
      </c>
      <c r="H35" s="59">
        <f t="shared" si="1"/>
        <v>42313.799999999996</v>
      </c>
      <c r="I35" s="60">
        <f t="shared" si="3"/>
        <v>524.35521011249864</v>
      </c>
      <c r="J35" s="57">
        <f t="shared" si="2"/>
        <v>1214.1137083740355</v>
      </c>
      <c r="L35" s="154">
        <f>I35*$M$23</f>
        <v>456.18903279787384</v>
      </c>
    </row>
    <row r="36" spans="1:12" ht="17" customHeight="1">
      <c r="E36" s="56">
        <f>IF(3&lt;=$M$1,3,"")</f>
        <v>3</v>
      </c>
      <c r="F36" s="57">
        <f>IF($E36="","",'Geom e masse'!G13)</f>
        <v>3235</v>
      </c>
      <c r="G36" s="58">
        <f>IF($E36="","",'Geom e masse'!E13)</f>
        <v>9.879999999999999</v>
      </c>
      <c r="H36" s="59">
        <f t="shared" si="1"/>
        <v>31961.799999999996</v>
      </c>
      <c r="I36" s="60">
        <f t="shared" si="3"/>
        <v>396.07258990148972</v>
      </c>
      <c r="J36" s="57">
        <f t="shared" si="2"/>
        <v>1610.1862982755251</v>
      </c>
      <c r="L36" s="154">
        <f>I36*$M$23</f>
        <v>344.58315321429603</v>
      </c>
    </row>
    <row r="37" spans="1:12" ht="17" customHeight="1">
      <c r="E37" s="56">
        <f>IF(2&lt;=$M$1,2,"")</f>
        <v>2</v>
      </c>
      <c r="F37" s="57">
        <f>IF($E37="","",'Geom e masse'!G14)</f>
        <v>3235</v>
      </c>
      <c r="G37" s="58">
        <f>IF($E37="","",'Geom e masse'!E14)</f>
        <v>6.68</v>
      </c>
      <c r="H37" s="59">
        <f t="shared" si="1"/>
        <v>21609.8</v>
      </c>
      <c r="I37" s="60">
        <f>IF($E37="","",IF($H$1=2,F37*$C$30,H37/$H$39*$C$34))</f>
        <v>267.78996969048092</v>
      </c>
      <c r="J37" s="57">
        <f t="shared" si="2"/>
        <v>1877.9762679660062</v>
      </c>
      <c r="L37" s="154">
        <f>I37*$M$23</f>
        <v>232.9772736307184</v>
      </c>
    </row>
    <row r="38" spans="1:12" ht="17" customHeight="1">
      <c r="E38" s="56">
        <f>IF(AND(1&lt;=$M$1,H1=3),1,"")</f>
        <v>1</v>
      </c>
      <c r="F38" s="62">
        <f>IF($E38="","",'Geom e masse'!G15)</f>
        <v>2632</v>
      </c>
      <c r="G38" s="58">
        <f>IF($E38="","",'Geom e masse'!E15)</f>
        <v>3.48</v>
      </c>
      <c r="H38" s="63">
        <f t="shared" si="1"/>
        <v>9159.36</v>
      </c>
      <c r="I38" s="60">
        <f>IF($E38="","",IF($H$1=2,F38*$C$30,H38/$H$39*$C$34))</f>
        <v>113.50335203399402</v>
      </c>
      <c r="J38" s="57">
        <f t="shared" si="2"/>
        <v>1991.4796200000001</v>
      </c>
      <c r="L38" s="154">
        <f>I38*$M$23</f>
        <v>98.747916269574802</v>
      </c>
    </row>
    <row r="39" spans="1:12" ht="17" customHeight="1">
      <c r="E39" s="39" t="s">
        <v>55</v>
      </c>
      <c r="F39" s="64">
        <f>SUM(F31:F38)</f>
        <v>15756</v>
      </c>
      <c r="G39" s="39"/>
      <c r="H39" s="65">
        <f>SUM(H31:H38)</f>
        <v>160706.07999999996</v>
      </c>
      <c r="L39" s="37"/>
    </row>
    <row r="40" spans="1:12" ht="17" customHeight="1">
      <c r="L40" s="37"/>
    </row>
    <row r="41" spans="1:12" ht="17" customHeight="1">
      <c r="L41" s="37"/>
    </row>
    <row r="42" spans="1:12" ht="17" customHeight="1">
      <c r="A42" s="36" t="s">
        <v>61</v>
      </c>
      <c r="E42" s="36" t="s">
        <v>49</v>
      </c>
      <c r="L42" s="37"/>
    </row>
    <row r="43" spans="1:12" ht="17" customHeight="1">
      <c r="L43" s="37"/>
    </row>
    <row r="44" spans="1:12" ht="17" customHeight="1">
      <c r="A44" s="34" t="s">
        <v>45</v>
      </c>
      <c r="E44" s="39" t="s">
        <v>50</v>
      </c>
      <c r="F44" s="39" t="s">
        <v>30</v>
      </c>
      <c r="G44" s="39" t="s">
        <v>51</v>
      </c>
      <c r="H44" s="39" t="s">
        <v>302</v>
      </c>
      <c r="I44" s="39" t="s">
        <v>303</v>
      </c>
      <c r="J44" s="39" t="s">
        <v>304</v>
      </c>
      <c r="L44" s="40" t="s">
        <v>297</v>
      </c>
    </row>
    <row r="45" spans="1:12" ht="17" customHeight="1">
      <c r="A45" s="34" t="s">
        <v>46</v>
      </c>
      <c r="B45" s="54" t="s">
        <v>186</v>
      </c>
      <c r="C45" s="55">
        <f>IF('Spettri y'!H29="","",ROUND('Spettri y'!H29,4))</f>
        <v>0.1487</v>
      </c>
      <c r="D45" s="34" t="s">
        <v>47</v>
      </c>
      <c r="F45" s="39" t="s">
        <v>52</v>
      </c>
      <c r="G45" s="39" t="s">
        <v>53</v>
      </c>
      <c r="H45" s="39" t="s">
        <v>54</v>
      </c>
      <c r="I45" s="39" t="s">
        <v>52</v>
      </c>
      <c r="J45" s="39" t="s">
        <v>52</v>
      </c>
      <c r="L45" s="40" t="s">
        <v>295</v>
      </c>
    </row>
    <row r="46" spans="1:12" ht="17" customHeight="1">
      <c r="A46" s="34" t="s">
        <v>48</v>
      </c>
      <c r="B46" s="54" t="s">
        <v>187</v>
      </c>
      <c r="C46" s="55">
        <f>IF('Spettri y'!H24="","",ROUND('Spettri y'!H24,4))</f>
        <v>0.21460000000000001</v>
      </c>
      <c r="D46" s="34" t="s">
        <v>47</v>
      </c>
      <c r="E46" s="56" t="str">
        <f>E31</f>
        <v/>
      </c>
      <c r="F46" s="57" t="str">
        <f>F31</f>
        <v/>
      </c>
      <c r="G46" s="58" t="str">
        <f>G31</f>
        <v/>
      </c>
      <c r="H46" s="59" t="str">
        <f>IF($E46="","",F46*G46)</f>
        <v/>
      </c>
      <c r="I46" s="60" t="str">
        <f t="shared" ref="I46:I51" si="4">IF($E46="","",IF($H$1=2,F46*$C$45,H46/$H$54*$C$49))</f>
        <v/>
      </c>
      <c r="J46" s="57" t="str">
        <f>IF($E46="","",I46)</f>
        <v/>
      </c>
      <c r="L46" s="37"/>
    </row>
    <row r="47" spans="1:12" ht="17" customHeight="1">
      <c r="E47" s="56" t="str">
        <f t="shared" ref="E47:G53" si="5">E32</f>
        <v/>
      </c>
      <c r="F47" s="57" t="str">
        <f t="shared" si="5"/>
        <v/>
      </c>
      <c r="G47" s="58" t="str">
        <f t="shared" si="5"/>
        <v/>
      </c>
      <c r="H47" s="59" t="str">
        <f t="shared" ref="H47:H52" si="6">IF($E47="","",F47*G47)</f>
        <v/>
      </c>
      <c r="I47" s="60" t="str">
        <f t="shared" si="4"/>
        <v/>
      </c>
      <c r="J47" s="57" t="str">
        <f>IF($E47="","",IF(J46="",0,J46)+I47)</f>
        <v/>
      </c>
      <c r="L47" s="37"/>
    </row>
    <row r="48" spans="1:12" ht="17" customHeight="1">
      <c r="A48" s="34" t="s">
        <v>89</v>
      </c>
      <c r="E48" s="56" t="str">
        <f t="shared" si="5"/>
        <v/>
      </c>
      <c r="F48" s="57" t="str">
        <f t="shared" si="5"/>
        <v/>
      </c>
      <c r="G48" s="58" t="str">
        <f t="shared" si="5"/>
        <v/>
      </c>
      <c r="H48" s="59" t="str">
        <f t="shared" si="6"/>
        <v/>
      </c>
      <c r="I48" s="60" t="str">
        <f t="shared" si="4"/>
        <v/>
      </c>
      <c r="J48" s="57" t="str">
        <f t="shared" ref="J48:J53" si="7">IF($E48="","",IF(J47="",0,J47)+I48)</f>
        <v/>
      </c>
      <c r="L48" s="37"/>
    </row>
    <row r="49" spans="1:12" ht="17" customHeight="1">
      <c r="A49" s="34" t="s">
        <v>46</v>
      </c>
      <c r="B49" s="39" t="s">
        <v>188</v>
      </c>
      <c r="C49" s="61">
        <f>IF(C45="","",F54*C45*IF('Geom e masse'!L3="si con isolamento",1,0.85))</f>
        <v>1991.4796199999998</v>
      </c>
      <c r="D49" s="34" t="s">
        <v>56</v>
      </c>
      <c r="E49" s="56">
        <f t="shared" si="5"/>
        <v>5</v>
      </c>
      <c r="F49" s="57">
        <f t="shared" si="5"/>
        <v>3419</v>
      </c>
      <c r="G49" s="58">
        <f t="shared" si="5"/>
        <v>16.279999999999998</v>
      </c>
      <c r="H49" s="59">
        <f t="shared" si="6"/>
        <v>55661.319999999992</v>
      </c>
      <c r="I49" s="60">
        <f t="shared" si="4"/>
        <v>689.75849826153683</v>
      </c>
      <c r="J49" s="57">
        <f t="shared" si="7"/>
        <v>689.75849826153683</v>
      </c>
      <c r="L49" s="154">
        <f>I49*$M$24</f>
        <v>882.89087777476732</v>
      </c>
    </row>
    <row r="50" spans="1:12" ht="17" customHeight="1">
      <c r="E50" s="56">
        <f t="shared" si="5"/>
        <v>4</v>
      </c>
      <c r="F50" s="57">
        <f t="shared" si="5"/>
        <v>3235</v>
      </c>
      <c r="G50" s="58">
        <f t="shared" si="5"/>
        <v>13.079999999999998</v>
      </c>
      <c r="H50" s="59">
        <f t="shared" si="6"/>
        <v>42313.799999999996</v>
      </c>
      <c r="I50" s="60">
        <f t="shared" si="4"/>
        <v>524.35521011249864</v>
      </c>
      <c r="J50" s="57">
        <f t="shared" si="7"/>
        <v>1214.1137083740355</v>
      </c>
      <c r="L50" s="154">
        <f>I50*$M$24</f>
        <v>671.17466894399843</v>
      </c>
    </row>
    <row r="51" spans="1:12" ht="17" customHeight="1">
      <c r="E51" s="56">
        <f t="shared" si="5"/>
        <v>3</v>
      </c>
      <c r="F51" s="57">
        <f t="shared" si="5"/>
        <v>3235</v>
      </c>
      <c r="G51" s="58">
        <f t="shared" si="5"/>
        <v>9.879999999999999</v>
      </c>
      <c r="H51" s="59">
        <f t="shared" si="6"/>
        <v>31961.799999999996</v>
      </c>
      <c r="I51" s="60">
        <f t="shared" si="4"/>
        <v>396.07258990148972</v>
      </c>
      <c r="J51" s="57">
        <f t="shared" si="7"/>
        <v>1610.1862982755251</v>
      </c>
      <c r="L51" s="154">
        <f>I51*$M$24</f>
        <v>506.97291507390696</v>
      </c>
    </row>
    <row r="52" spans="1:12" ht="17" customHeight="1">
      <c r="E52" s="56">
        <f t="shared" si="5"/>
        <v>2</v>
      </c>
      <c r="F52" s="57">
        <f t="shared" si="5"/>
        <v>3235</v>
      </c>
      <c r="G52" s="58">
        <f t="shared" si="5"/>
        <v>6.68</v>
      </c>
      <c r="H52" s="59">
        <f t="shared" si="6"/>
        <v>21609.8</v>
      </c>
      <c r="I52" s="60">
        <f>IF($E52="","",IF($H$1=2,F52*$C$45,H52/$H$54*$C$49))</f>
        <v>267.78996969048092</v>
      </c>
      <c r="J52" s="57">
        <f t="shared" si="7"/>
        <v>1877.9762679660062</v>
      </c>
      <c r="L52" s="154">
        <f>I52*$M$24</f>
        <v>342.77116120381567</v>
      </c>
    </row>
    <row r="53" spans="1:12" ht="17" customHeight="1">
      <c r="E53" s="56">
        <f t="shared" si="5"/>
        <v>1</v>
      </c>
      <c r="F53" s="57">
        <f t="shared" si="5"/>
        <v>2632</v>
      </c>
      <c r="G53" s="58">
        <f t="shared" si="5"/>
        <v>3.48</v>
      </c>
      <c r="H53" s="63">
        <f>IF($E53="","",F53*G53)</f>
        <v>9159.36</v>
      </c>
      <c r="I53" s="60">
        <f>IF($E53="","",IF($H$1=2,F53*$C$45,H53/$H$54*$C$49))</f>
        <v>113.50335203399402</v>
      </c>
      <c r="J53" s="57">
        <f t="shared" si="7"/>
        <v>1991.4796200000001</v>
      </c>
      <c r="L53" s="154">
        <f>I53*$M$24</f>
        <v>145.28429060351237</v>
      </c>
    </row>
    <row r="54" spans="1:12" ht="17" customHeight="1">
      <c r="E54" s="39" t="s">
        <v>55</v>
      </c>
      <c r="F54" s="64">
        <f>SUM(F46:F53)</f>
        <v>15756</v>
      </c>
      <c r="G54" s="39"/>
      <c r="H54" s="65">
        <f>SUM(H46:H53)</f>
        <v>160706.07999999996</v>
      </c>
    </row>
  </sheetData>
  <sheetProtection sheet="1" selectLockedCells="1"/>
  <mergeCells count="2">
    <mergeCell ref="K27:N27"/>
    <mergeCell ref="K22:N22"/>
  </mergeCells>
  <conditionalFormatting sqref="I31:I38">
    <cfRule type="expression" dxfId="70" priority="11">
      <formula>($E31="")</formula>
    </cfRule>
  </conditionalFormatting>
  <conditionalFormatting sqref="I46:I53">
    <cfRule type="expression" dxfId="69" priority="1">
      <formula>($E46="")</formula>
    </cfRule>
  </conditionalFormatting>
  <conditionalFormatting sqref="L31:L38">
    <cfRule type="expression" dxfId="68" priority="3">
      <formula>E31&lt;&gt;""</formula>
    </cfRule>
  </conditionalFormatting>
  <conditionalFormatting sqref="L46:L53">
    <cfRule type="expression" dxfId="67" priority="2">
      <formula>E46&lt;&gt;""</formula>
    </cfRule>
  </conditionalFormatting>
  <dataValidations count="2">
    <dataValidation type="list" allowBlank="1" showInputMessage="1" showErrorMessage="1" sqref="D6:D7" xr:uid="{00000000-0002-0000-0400-000000000000}">
      <formula1>"si,no"</formula1>
    </dataValidation>
    <dataValidation type="list" allowBlank="1" showInputMessage="1" showErrorMessage="1" sqref="D5" xr:uid="{00000000-0002-0000-0400-000001000000}">
      <formula1>"A,B"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9C6BB449-88BE-4E44-BC49-C43AF3853FD4}">
            <xm:f>'Geom e masse'!L3&lt;&gt;"si con isolamento"</xm:f>
            <x14:dxf>
              <font>
                <color theme="0"/>
              </font>
            </x14:dxf>
          </x14:cfRule>
          <x14:cfRule type="expression" priority="7" id="{6CDB966F-E9CC-4DFF-8D28-E66AF31D1AF7}">
            <xm:f>'Geom e masse'!L3="si con isolamento"</xm:f>
            <x14:dxf>
              <fill>
                <patternFill>
                  <bgColor rgb="FFFFFF99"/>
                </patternFill>
              </fill>
            </x14:dxf>
          </x14:cfRule>
          <xm:sqref>D14</xm:sqref>
        </x14:conditionalFormatting>
        <x14:conditionalFormatting xmlns:xm="http://schemas.microsoft.com/office/excel/2006/main">
          <x14:cfRule type="expression" priority="4" id="{00A11B74-EF70-4DA9-86CC-AA9A2EE16F1A}">
            <xm:f>'Geom e masse'!L3&lt;&gt;"si con isolamento"</xm:f>
            <x14:dxf>
              <font>
                <color theme="0"/>
              </font>
            </x14:dxf>
          </x14:cfRule>
          <x14:cfRule type="expression" priority="5" id="{0914A292-2895-4583-A152-5723B8794431}">
            <xm:f>'Geom e masse'!L3="si con isolamento"</xm:f>
            <x14:dxf>
              <fill>
                <patternFill>
                  <bgColor rgb="FFFFFF99"/>
                </patternFill>
              </fill>
            </x14:dxf>
          </x14:cfRule>
          <xm:sqref>D18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52"/>
  <sheetViews>
    <sheetView workbookViewId="0">
      <selection activeCell="C4" sqref="C4:E4"/>
    </sheetView>
  </sheetViews>
  <sheetFormatPr defaultColWidth="9.1328125" defaultRowHeight="16.5" customHeight="1"/>
  <cols>
    <col min="1" max="5" width="10.59765625" style="34" customWidth="1"/>
    <col min="6" max="6" width="7.73046875" style="34" customWidth="1"/>
    <col min="7" max="7" width="10.59765625" style="34" customWidth="1"/>
    <col min="8" max="8" width="4.73046875" style="34" customWidth="1"/>
    <col min="9" max="10" width="10.59765625" style="34" customWidth="1"/>
    <col min="11" max="11" width="6.73046875" style="34" customWidth="1"/>
    <col min="12" max="12" width="9.1328125" style="34"/>
    <col min="13" max="13" width="4.73046875" style="34" customWidth="1"/>
    <col min="14" max="15" width="10.59765625" style="34" customWidth="1"/>
    <col min="16" max="16" width="9.1328125" style="34"/>
    <col min="17" max="17" width="6.59765625" style="34" customWidth="1"/>
    <col min="18" max="16384" width="9.1328125" style="34"/>
  </cols>
  <sheetData>
    <row r="1" spans="1:20" ht="16.5" customHeight="1">
      <c r="A1" s="92" t="s">
        <v>62</v>
      </c>
      <c r="H1" s="93">
        <f>IF('Geom e masse'!L3="si",1,IF('Geom e masse'!L3="no",3,2))</f>
        <v>3</v>
      </c>
      <c r="I1" s="34" t="str">
        <f>CONCATENATE(IF(H1=1,"pareti",IF(H1=2,"par+iso","no pareti"))," (da Geom e masse)")</f>
        <v>no pareti (da Geom e masse)</v>
      </c>
      <c r="M1" s="93">
        <f>'Geom e masse'!D3</f>
        <v>5</v>
      </c>
      <c r="N1" s="34" t="s">
        <v>284</v>
      </c>
    </row>
    <row r="3" spans="1:20" ht="16.5" customHeight="1">
      <c r="A3" s="34" t="s">
        <v>63</v>
      </c>
    </row>
    <row r="4" spans="1:20" ht="16.5" customHeight="1">
      <c r="B4" s="43" t="s">
        <v>64</v>
      </c>
      <c r="C4" s="162" t="s">
        <v>287</v>
      </c>
      <c r="D4" s="162"/>
      <c r="E4" s="162"/>
      <c r="F4" s="34" t="s">
        <v>75</v>
      </c>
    </row>
    <row r="6" spans="1:20" ht="16.5" customHeight="1">
      <c r="A6" s="31" t="s">
        <v>60</v>
      </c>
      <c r="D6" s="43" t="str">
        <f>IF(C4="lo stesso per tutti i piani","n. pilastri","")</f>
        <v>n. pilastri</v>
      </c>
      <c r="E6" s="73">
        <v>13</v>
      </c>
    </row>
    <row r="7" spans="1:20" ht="16.5" customHeight="1">
      <c r="G7" s="43" t="s">
        <v>77</v>
      </c>
      <c r="H7" s="67">
        <v>0.4</v>
      </c>
      <c r="L7" s="43" t="s">
        <v>77</v>
      </c>
      <c r="M7" s="67">
        <v>0.4</v>
      </c>
      <c r="R7" s="39" t="s">
        <v>82</v>
      </c>
      <c r="S7" s="74">
        <v>4.0999999999999996</v>
      </c>
      <c r="T7" s="34" t="s">
        <v>28</v>
      </c>
    </row>
    <row r="8" spans="1:20" ht="16.5" customHeight="1">
      <c r="A8" s="31" t="s">
        <v>66</v>
      </c>
    </row>
    <row r="9" spans="1:20" ht="16.5" customHeight="1">
      <c r="F9" s="75"/>
      <c r="G9" s="76" t="s">
        <v>76</v>
      </c>
      <c r="H9" s="77"/>
      <c r="I9" s="77"/>
      <c r="J9" s="78"/>
      <c r="K9" s="75"/>
      <c r="L9" s="79" t="s">
        <v>80</v>
      </c>
      <c r="M9" s="77"/>
      <c r="N9" s="77"/>
      <c r="O9" s="78"/>
      <c r="Q9" s="75"/>
      <c r="R9" s="76" t="s">
        <v>81</v>
      </c>
      <c r="S9" s="77"/>
    </row>
    <row r="10" spans="1:20" ht="16.5" customHeight="1">
      <c r="A10" s="39" t="s">
        <v>50</v>
      </c>
      <c r="B10" s="39" t="s">
        <v>78</v>
      </c>
      <c r="C10" s="39" t="s">
        <v>67</v>
      </c>
      <c r="D10" s="39" t="s">
        <v>68</v>
      </c>
      <c r="E10" s="153" t="s">
        <v>78</v>
      </c>
      <c r="F10" s="75"/>
      <c r="G10" s="80" t="s">
        <v>278</v>
      </c>
      <c r="H10" s="81"/>
      <c r="I10" s="81" t="s">
        <v>279</v>
      </c>
      <c r="J10" s="82" t="s">
        <v>280</v>
      </c>
      <c r="K10" s="80" t="s">
        <v>79</v>
      </c>
      <c r="L10" s="81" t="s">
        <v>278</v>
      </c>
      <c r="M10" s="81"/>
      <c r="N10" s="81" t="s">
        <v>279</v>
      </c>
      <c r="O10" s="82" t="s">
        <v>280</v>
      </c>
      <c r="P10" s="152" t="s">
        <v>281</v>
      </c>
      <c r="Q10" s="75"/>
      <c r="R10" s="80" t="s">
        <v>282</v>
      </c>
      <c r="S10" s="81" t="s">
        <v>283</v>
      </c>
    </row>
    <row r="11" spans="1:20" ht="16.5" customHeight="1">
      <c r="A11" s="39" t="str">
        <f>Forze!E31</f>
        <v/>
      </c>
      <c r="B11" s="89"/>
      <c r="C11" s="84" t="str">
        <f>IF(A11="","",Forze!J31)</f>
        <v/>
      </c>
      <c r="D11" s="45" t="str">
        <f>IF(A11="","",'Geom e masse'!F8)</f>
        <v/>
      </c>
      <c r="E11" s="45" t="str">
        <f>IF(OR(A11="",IF($D$6="",B11,$E$6)=0),"",IF($D$6="",B11,$E$6))</f>
        <v/>
      </c>
      <c r="F11" s="85" t="str">
        <f t="shared" ref="F11:F16" si="0">IF(A11="","",CONCATENATE(A11,IF(A12&lt;&gt;"",""," testa")))</f>
        <v/>
      </c>
      <c r="G11" s="86" t="str">
        <f t="shared" ref="G11:G13" si="1">IF(OR(B11="",C11=""),"",C11/E11)</f>
        <v/>
      </c>
      <c r="H11" s="84" t="str">
        <f t="shared" ref="H11:H13" si="2">IF(OR(B11="",F11=""),"",IF(AND(G11&lt;&gt;"",G12=""),$H$7,IF(AND(G11&lt;&gt;"",G12&lt;&gt;""),0.5,1-H10)))</f>
        <v/>
      </c>
      <c r="I11" s="84" t="str">
        <f t="shared" ref="I11:I13" si="3">IF(OR(B11="",H11=""),"",G11*D11*H11)</f>
        <v/>
      </c>
      <c r="J11" s="87" t="str">
        <f>IF(I11="","",I11*IF($H$1=2,1, 1.5))</f>
        <v/>
      </c>
      <c r="K11" s="88"/>
      <c r="L11" s="84" t="str">
        <f t="shared" ref="L11:L13" si="4">IF(OR(A11="",B11=""),"",G11*K11)</f>
        <v/>
      </c>
      <c r="M11" s="84" t="str">
        <f t="shared" ref="M11:M13" si="5">IF(OR(B11="",F11=""),"",IF(AND(L11&lt;&gt;"",L12=""),$M$7,IF(AND(L11&lt;&gt;"",L12&lt;&gt;""),0.5,1-M10)))</f>
        <v/>
      </c>
      <c r="N11" s="84" t="str">
        <f t="shared" ref="N11:N13" si="6">IF(M11="","",L11*D11*M11)</f>
        <v/>
      </c>
      <c r="O11" s="87" t="str">
        <f t="shared" ref="O11:O13" si="7">IF(N11="","",N11*IF($H$1=2,1, 1.5))</f>
        <v/>
      </c>
      <c r="P11" s="84" t="str">
        <f>IF(OR(A11="",B11=""),"",IF(OR(P10="",P10="DNpil"),0,P10)+S11)</f>
        <v/>
      </c>
      <c r="Q11" s="85" t="str">
        <f t="shared" ref="Q11:Q16" si="8">F11</f>
        <v/>
      </c>
      <c r="R11" s="86" t="str">
        <f t="shared" ref="R11:R13" si="9">IF(OR(A11="",B11=""),"",(IF(H10="",0,I10)+I11)/2)</f>
        <v/>
      </c>
      <c r="S11" s="84" t="str">
        <f>IF(A11="","",2*R11/S7)</f>
        <v/>
      </c>
    </row>
    <row r="12" spans="1:20" ht="16.5" customHeight="1">
      <c r="A12" s="39" t="str">
        <f>Forze!E32</f>
        <v/>
      </c>
      <c r="B12" s="89"/>
      <c r="C12" s="84" t="str">
        <f>IF(A12="","",Forze!J32)</f>
        <v/>
      </c>
      <c r="D12" s="45" t="str">
        <f>IF(A12="","",'Geom e masse'!F9)</f>
        <v/>
      </c>
      <c r="E12" s="45" t="str">
        <f t="shared" ref="E12:E17" si="10">IF(OR(A12="",IF($D$6="",B12,$E$6)=0),"",IF($D$6="",B12,$E$6))</f>
        <v/>
      </c>
      <c r="F12" s="85" t="str">
        <f t="shared" si="0"/>
        <v/>
      </c>
      <c r="G12" s="86" t="str">
        <f t="shared" si="1"/>
        <v/>
      </c>
      <c r="H12" s="84" t="str">
        <f t="shared" si="2"/>
        <v/>
      </c>
      <c r="I12" s="84" t="str">
        <f t="shared" si="3"/>
        <v/>
      </c>
      <c r="J12" s="87" t="str">
        <f t="shared" ref="J12:J14" si="11">IF(I12="","",I12*IF($H$1=2,1, 1.5))</f>
        <v/>
      </c>
      <c r="K12" s="88"/>
      <c r="L12" s="84" t="str">
        <f t="shared" si="4"/>
        <v/>
      </c>
      <c r="M12" s="84" t="str">
        <f t="shared" si="5"/>
        <v/>
      </c>
      <c r="N12" s="84" t="str">
        <f t="shared" si="6"/>
        <v/>
      </c>
      <c r="O12" s="87" t="str">
        <f t="shared" si="7"/>
        <v/>
      </c>
      <c r="P12" s="84" t="str">
        <f>IF(OR(A12="",B12=""),"",IF(P11="",0,P11)+S12)</f>
        <v/>
      </c>
      <c r="Q12" s="85" t="str">
        <f t="shared" si="8"/>
        <v/>
      </c>
      <c r="R12" s="86" t="str">
        <f t="shared" si="9"/>
        <v/>
      </c>
      <c r="S12" s="84" t="str">
        <f>IF(A12="","",2*R12/S7)</f>
        <v/>
      </c>
    </row>
    <row r="13" spans="1:20" ht="16.5" customHeight="1">
      <c r="A13" s="39" t="str">
        <f>Forze!E33</f>
        <v/>
      </c>
      <c r="B13" s="89"/>
      <c r="C13" s="84" t="str">
        <f>IF(A13="","",Forze!J33)</f>
        <v/>
      </c>
      <c r="D13" s="45" t="str">
        <f>IF(A13="","",'Geom e masse'!F10)</f>
        <v/>
      </c>
      <c r="E13" s="45" t="str">
        <f t="shared" si="10"/>
        <v/>
      </c>
      <c r="F13" s="85" t="str">
        <f t="shared" si="0"/>
        <v/>
      </c>
      <c r="G13" s="86" t="str">
        <f t="shared" si="1"/>
        <v/>
      </c>
      <c r="H13" s="84" t="str">
        <f t="shared" si="2"/>
        <v/>
      </c>
      <c r="I13" s="84" t="str">
        <f t="shared" si="3"/>
        <v/>
      </c>
      <c r="J13" s="87" t="str">
        <f t="shared" si="11"/>
        <v/>
      </c>
      <c r="K13" s="88"/>
      <c r="L13" s="84" t="str">
        <f t="shared" si="4"/>
        <v/>
      </c>
      <c r="M13" s="84" t="str">
        <f t="shared" si="5"/>
        <v/>
      </c>
      <c r="N13" s="84" t="str">
        <f t="shared" si="6"/>
        <v/>
      </c>
      <c r="O13" s="87" t="str">
        <f t="shared" si="7"/>
        <v/>
      </c>
      <c r="P13" s="84" t="str">
        <f t="shared" ref="P13" si="12">IF(OR(A13="",B13=""),"",IF(P12="",0,P12)+S13)</f>
        <v/>
      </c>
      <c r="Q13" s="85" t="str">
        <f t="shared" si="8"/>
        <v/>
      </c>
      <c r="R13" s="86" t="str">
        <f t="shared" si="9"/>
        <v/>
      </c>
      <c r="S13" s="84" t="str">
        <f>IF(A13="","",2*R13/S7)</f>
        <v/>
      </c>
    </row>
    <row r="14" spans="1:20" ht="16.5" customHeight="1">
      <c r="A14" s="39">
        <f>Forze!E34</f>
        <v>5</v>
      </c>
      <c r="B14" s="89">
        <v>13</v>
      </c>
      <c r="C14" s="84">
        <f>IF(A14="","",Forze!J34)</f>
        <v>689.75849826153683</v>
      </c>
      <c r="D14" s="45">
        <f>IF(A14="","",'Geom e masse'!F11)</f>
        <v>3.1999999999999993</v>
      </c>
      <c r="E14" s="45">
        <f t="shared" si="10"/>
        <v>13</v>
      </c>
      <c r="F14" s="85" t="str">
        <f>IF(A14="","",CONCATENATE(A14,IF(A15&lt;&gt;"",""," testa")))</f>
        <v>5</v>
      </c>
      <c r="G14" s="86">
        <f>IF(OR(B14="",C14=""),"",C14/E14)</f>
        <v>53.058346020118215</v>
      </c>
      <c r="H14" s="84">
        <f>IF(OR(B14="",F14=""),"",IF(AND(G14&lt;&gt;"",G15=""),$H$7,IF(AND(G14&lt;&gt;"",G15&lt;&gt;""),0.5,1-H13)))</f>
        <v>0.5</v>
      </c>
      <c r="I14" s="84">
        <f>IF(OR(B14="",H14=""),"",G14*D14*H14)</f>
        <v>84.893353632189118</v>
      </c>
      <c r="J14" s="87">
        <f t="shared" si="11"/>
        <v>127.34003044828367</v>
      </c>
      <c r="K14" s="88">
        <v>0.6</v>
      </c>
      <c r="L14" s="84">
        <f>IF(OR(A14="",B14=""),"",G14*K14)</f>
        <v>31.835007612070928</v>
      </c>
      <c r="M14" s="84">
        <f>IF(OR(B14="",F14=""),"",IF(AND(L14&lt;&gt;"",L15=""),$M$7,IF(AND(L14&lt;&gt;"",L15&lt;&gt;""),0.5,1-M13)))</f>
        <v>0.5</v>
      </c>
      <c r="N14" s="84">
        <f t="shared" ref="N14:N17" si="13">IF(M14="","",L14*D14*M14)</f>
        <v>50.936012179313472</v>
      </c>
      <c r="O14" s="87">
        <f t="shared" ref="O14:O17" si="14">IF(N14="","",N14*IF($H$1=2,1, 1.5))</f>
        <v>76.404018268970205</v>
      </c>
      <c r="P14" s="84">
        <f>IF(OR(A14="",B14=""),"",IF(P13="",0,P13)+S14)</f>
        <v>20.705696007851007</v>
      </c>
      <c r="Q14" s="85" t="str">
        <f t="shared" si="8"/>
        <v>5</v>
      </c>
      <c r="R14" s="86">
        <f>IF(OR(A14="",B14=""),"",(IF(H13="",0,I13)+I14)/2)</f>
        <v>42.446676816094559</v>
      </c>
      <c r="S14" s="84">
        <f>IF(OR(A14="",B14=""),"",2*R14/S7)</f>
        <v>20.705696007851007</v>
      </c>
    </row>
    <row r="15" spans="1:20" ht="16.5" customHeight="1">
      <c r="A15" s="39">
        <f>Forze!E35</f>
        <v>4</v>
      </c>
      <c r="B15" s="89">
        <v>13</v>
      </c>
      <c r="C15" s="84">
        <f>IF(A15="","",Forze!J35)</f>
        <v>1214.1137083740355</v>
      </c>
      <c r="D15" s="45">
        <f>IF(A15="","",'Geom e masse'!F12)</f>
        <v>3.1999999999999993</v>
      </c>
      <c r="E15" s="45">
        <f t="shared" si="10"/>
        <v>13</v>
      </c>
      <c r="F15" s="85" t="str">
        <f t="shared" si="0"/>
        <v>4</v>
      </c>
      <c r="G15" s="86">
        <f t="shared" ref="G15:G17" si="15">IF(OR(B15="",C15=""),"",C15/E15)</f>
        <v>93.39336218261812</v>
      </c>
      <c r="H15" s="84">
        <f t="shared" ref="H15:H17" si="16">IF(OR(B15="",F15=""),"",IF(AND(G15&lt;&gt;"",G16=""),$H$7,IF(AND(G15&lt;&gt;"",G16&lt;&gt;""),0.5,1-H14)))</f>
        <v>0.5</v>
      </c>
      <c r="I15" s="84">
        <f t="shared" ref="I15:I17" si="17">IF(OR(B15="",H15=""),"",G15*D15*H15)</f>
        <v>149.42937949218896</v>
      </c>
      <c r="J15" s="87">
        <f t="shared" ref="J15:J17" si="18">IF(I15="","",I15*IF($H$1=2,1, 1.5))</f>
        <v>224.14406923828344</v>
      </c>
      <c r="K15" s="88">
        <v>0.6</v>
      </c>
      <c r="L15" s="84">
        <f t="shared" ref="L15:L17" si="19">IF(OR(A15="",B15=""),"",G15*K15)</f>
        <v>56.036017309570873</v>
      </c>
      <c r="M15" s="84">
        <f t="shared" ref="M15:M17" si="20">IF(OR(B15="",F15=""),"",IF(AND(L15&lt;&gt;"",L16=""),$M$7,IF(AND(L15&lt;&gt;"",L16&lt;&gt;""),0.5,1-M14)))</f>
        <v>0.5</v>
      </c>
      <c r="N15" s="84">
        <f t="shared" si="13"/>
        <v>89.65762769531338</v>
      </c>
      <c r="O15" s="87">
        <f t="shared" si="14"/>
        <v>134.48644154297006</v>
      </c>
      <c r="P15" s="84">
        <f t="shared" ref="P15:P17" si="21">IF(OR(A15="",B15=""),"",IF(P14="",0,P14)+S15)</f>
        <v>77.857582135748103</v>
      </c>
      <c r="Q15" s="85" t="str">
        <f t="shared" si="8"/>
        <v>4</v>
      </c>
      <c r="R15" s="86">
        <f t="shared" ref="R15:R17" si="22">IF(OR(A15="",B15=""),"",(IF(H14="",0,I14)+I15)/2)</f>
        <v>117.16136656218904</v>
      </c>
      <c r="S15" s="84">
        <f>IF(A15="","",2*R15/S7)</f>
        <v>57.1518861278971</v>
      </c>
    </row>
    <row r="16" spans="1:20" ht="16.5" customHeight="1">
      <c r="A16" s="39">
        <f>Forze!E36</f>
        <v>3</v>
      </c>
      <c r="B16" s="89">
        <v>13</v>
      </c>
      <c r="C16" s="84">
        <f>IF(A16="","",Forze!J36)</f>
        <v>1610.1862982755251</v>
      </c>
      <c r="D16" s="45">
        <f>IF(A16="","",'Geom e masse'!F13)</f>
        <v>3.1999999999999993</v>
      </c>
      <c r="E16" s="45">
        <f t="shared" si="10"/>
        <v>13</v>
      </c>
      <c r="F16" s="85" t="str">
        <f t="shared" si="0"/>
        <v>3</v>
      </c>
      <c r="G16" s="86">
        <f t="shared" si="15"/>
        <v>123.8604844827327</v>
      </c>
      <c r="H16" s="84">
        <f t="shared" si="16"/>
        <v>0.5</v>
      </c>
      <c r="I16" s="84">
        <f t="shared" si="17"/>
        <v>198.17677517237229</v>
      </c>
      <c r="J16" s="87">
        <f t="shared" si="18"/>
        <v>297.2651627585584</v>
      </c>
      <c r="K16" s="88">
        <v>0.6</v>
      </c>
      <c r="L16" s="84">
        <f t="shared" si="19"/>
        <v>74.316290689639615</v>
      </c>
      <c r="M16" s="84">
        <f t="shared" si="20"/>
        <v>0.5</v>
      </c>
      <c r="N16" s="84">
        <f t="shared" si="13"/>
        <v>118.90606510342336</v>
      </c>
      <c r="O16" s="87">
        <f t="shared" si="14"/>
        <v>178.35909765513503</v>
      </c>
      <c r="P16" s="84">
        <f t="shared" si="21"/>
        <v>162.63957107832402</v>
      </c>
      <c r="Q16" s="85" t="str">
        <f t="shared" si="8"/>
        <v>3</v>
      </c>
      <c r="R16" s="86">
        <f t="shared" si="22"/>
        <v>173.80307733228062</v>
      </c>
      <c r="S16" s="84">
        <f>IF(A16="","",2*R16/S7)</f>
        <v>84.781988942575921</v>
      </c>
    </row>
    <row r="17" spans="1:20" ht="16.5" customHeight="1">
      <c r="A17" s="39">
        <f>Forze!E37</f>
        <v>2</v>
      </c>
      <c r="B17" s="89">
        <v>13</v>
      </c>
      <c r="C17" s="84">
        <f>IF(A17="","",Forze!J37)</f>
        <v>1877.9762679660062</v>
      </c>
      <c r="D17" s="45">
        <f>IF(A17="","",'Geom e masse'!F14)</f>
        <v>3.1999999999999997</v>
      </c>
      <c r="E17" s="45">
        <f t="shared" si="10"/>
        <v>13</v>
      </c>
      <c r="F17" s="85" t="str">
        <f>IF(A17="","",CONCATENATE(A17,IF(C18&lt;&gt;"",""," testa")))</f>
        <v>2</v>
      </c>
      <c r="G17" s="86">
        <f t="shared" si="15"/>
        <v>144.45971292046201</v>
      </c>
      <c r="H17" s="84">
        <f t="shared" si="16"/>
        <v>0.5</v>
      </c>
      <c r="I17" s="84">
        <f t="shared" si="17"/>
        <v>231.13554067273921</v>
      </c>
      <c r="J17" s="87">
        <f t="shared" si="18"/>
        <v>346.7033110091088</v>
      </c>
      <c r="K17" s="88">
        <v>0.6</v>
      </c>
      <c r="L17" s="84">
        <f t="shared" si="19"/>
        <v>86.6758277522772</v>
      </c>
      <c r="M17" s="84">
        <f t="shared" si="20"/>
        <v>0.5</v>
      </c>
      <c r="N17" s="84">
        <f t="shared" si="13"/>
        <v>138.68132440364352</v>
      </c>
      <c r="O17" s="87">
        <f t="shared" si="14"/>
        <v>208.02198660546526</v>
      </c>
      <c r="P17" s="84">
        <f t="shared" si="21"/>
        <v>267.3498920161561</v>
      </c>
      <c r="Q17" s="85">
        <v>2</v>
      </c>
      <c r="R17" s="86">
        <f t="shared" si="22"/>
        <v>214.65615792255574</v>
      </c>
      <c r="S17" s="84">
        <f>IF(A17="","",2*R17/S7)</f>
        <v>104.71032093783208</v>
      </c>
    </row>
    <row r="18" spans="1:20" ht="16.5" customHeight="1">
      <c r="A18" s="39">
        <f>Forze!E38</f>
        <v>1</v>
      </c>
      <c r="B18" s="90">
        <v>13</v>
      </c>
      <c r="C18" s="84">
        <f>IF(A18="","",IF($H$1=2,"",Forze!J38))</f>
        <v>1991.4796200000001</v>
      </c>
      <c r="D18" s="45">
        <f>IF(C18="","",'Geom e masse'!F15)</f>
        <v>3.48</v>
      </c>
      <c r="E18" s="45">
        <f>IF(OR(C18="",IF($D$6="",B18,$E$6)=0),"",IF($D$6="",B18,$E$6))</f>
        <v>13</v>
      </c>
      <c r="F18" s="85" t="str">
        <f>IF(F17="2 testa","2 piede",IF(A18="","",CONCATENATE(A18,IF(A19&lt;&gt;"",""," testa"))))</f>
        <v>1 testa</v>
      </c>
      <c r="G18" s="86">
        <f>IF(B18="","",IF(F18="2 piede",G17,C18/E18))</f>
        <v>153.19074000000001</v>
      </c>
      <c r="H18" s="84">
        <f>IF(F18="2 piede",1-H7,H7)</f>
        <v>0.4</v>
      </c>
      <c r="I18" s="84">
        <f>IF(B18="","",G18*H18*IF(F18="2 piede",D17,D18))</f>
        <v>213.24151008000001</v>
      </c>
      <c r="J18" s="87">
        <f>IF(I18="","",I18*IF(OR(F18="2 piede",$H$1=2),1, 1.5))</f>
        <v>319.86226512000002</v>
      </c>
      <c r="K18" s="88">
        <v>0.8</v>
      </c>
      <c r="L18" s="84">
        <f>IF(F18="2 piede",L17,G18*K18)</f>
        <v>122.552592</v>
      </c>
      <c r="M18" s="84">
        <f>IF(F18="2 piede",1-M7,M7)</f>
        <v>0.4</v>
      </c>
      <c r="N18" s="84">
        <f>L18*M18*(IF(F18="2 piede",D17,D18))</f>
        <v>170.59320806400001</v>
      </c>
      <c r="O18" s="87">
        <f>IF(N18="","",N18*IF(OR(F18="2 piede",$H$1=2),1, 1.5))</f>
        <v>255.88981209600001</v>
      </c>
      <c r="P18" s="84">
        <f>IF(A18="","",IF(P17="",0,P17)+S18)</f>
        <v>375.73453854121448</v>
      </c>
      <c r="Q18" s="85">
        <f>IF($H$1=1,"",1)</f>
        <v>1</v>
      </c>
      <c r="R18" s="86">
        <f>IF(A18="","",(IF(OR(F18="2 piede",I17=""),0,I17)+I18)/2)</f>
        <v>222.18852537636963</v>
      </c>
      <c r="S18" s="84">
        <f>IF(A18="","",2*R18/S7)</f>
        <v>108.38464652505836</v>
      </c>
    </row>
    <row r="19" spans="1:20" ht="16.5" customHeight="1">
      <c r="F19" s="85" t="str">
        <f>IF(F18="1 testa","1 piede","")</f>
        <v>1 piede</v>
      </c>
      <c r="G19" s="86">
        <f>IF(B18="","",IF($H$1&lt;3,"",C18/E18))</f>
        <v>153.19074000000001</v>
      </c>
      <c r="H19" s="84">
        <f>IF(F19="","",1-H7)</f>
        <v>0.6</v>
      </c>
      <c r="I19" s="84">
        <f>IF(B18="","",IF(H19="","",G19*H19*D18))</f>
        <v>319.86226512000002</v>
      </c>
      <c r="J19" s="87">
        <f>IF(I19="","",I19)</f>
        <v>319.86226512000002</v>
      </c>
      <c r="K19" s="75"/>
      <c r="L19" s="84">
        <f>IF($H$1&lt;3,"",L18)</f>
        <v>122.552592</v>
      </c>
      <c r="M19" s="84">
        <f>IF(F19="","",1-M7)</f>
        <v>0.6</v>
      </c>
      <c r="N19" s="84">
        <f>IF(M19="","",L19*M19*D18)</f>
        <v>255.88981209599999</v>
      </c>
      <c r="O19" s="87">
        <f>IF(N19="","",N19)</f>
        <v>255.88981209599999</v>
      </c>
      <c r="P19" s="84"/>
      <c r="Q19" s="85"/>
      <c r="R19" s="86"/>
      <c r="S19" s="84"/>
    </row>
    <row r="21" spans="1:20" ht="16.5" customHeight="1">
      <c r="A21" s="31" t="s">
        <v>61</v>
      </c>
      <c r="D21" s="43" t="str">
        <f>IF(C4="lo stesso per tutti i piani","n. pilastri","")</f>
        <v>n. pilastri</v>
      </c>
      <c r="E21" s="73">
        <v>14</v>
      </c>
    </row>
    <row r="22" spans="1:20" ht="16.5" customHeight="1">
      <c r="G22" s="43" t="s">
        <v>77</v>
      </c>
      <c r="H22" s="67">
        <v>0.4</v>
      </c>
      <c r="L22" s="43" t="s">
        <v>77</v>
      </c>
      <c r="M22" s="67">
        <v>0.4</v>
      </c>
      <c r="R22" s="39" t="s">
        <v>82</v>
      </c>
      <c r="S22" s="74">
        <v>4.0999999999999996</v>
      </c>
      <c r="T22" s="34" t="s">
        <v>28</v>
      </c>
    </row>
    <row r="23" spans="1:20" ht="16.5" customHeight="1">
      <c r="A23" s="31" t="s">
        <v>66</v>
      </c>
    </row>
    <row r="24" spans="1:20" ht="16.5" customHeight="1">
      <c r="F24" s="75"/>
      <c r="G24" s="76" t="s">
        <v>76</v>
      </c>
      <c r="H24" s="77"/>
      <c r="I24" s="77"/>
      <c r="J24" s="78"/>
      <c r="K24" s="75"/>
      <c r="L24" s="79" t="s">
        <v>80</v>
      </c>
      <c r="M24" s="77"/>
      <c r="N24" s="77"/>
      <c r="O24" s="78"/>
      <c r="Q24" s="91"/>
      <c r="R24" s="76" t="s">
        <v>81</v>
      </c>
      <c r="S24" s="77"/>
    </row>
    <row r="25" spans="1:20" ht="16.5" customHeight="1">
      <c r="A25" s="39" t="s">
        <v>50</v>
      </c>
      <c r="B25" s="39" t="s">
        <v>78</v>
      </c>
      <c r="C25" s="39" t="s">
        <v>67</v>
      </c>
      <c r="D25" s="39" t="s">
        <v>68</v>
      </c>
      <c r="E25" s="153" t="s">
        <v>78</v>
      </c>
      <c r="F25" s="75"/>
      <c r="G25" s="80" t="s">
        <v>278</v>
      </c>
      <c r="H25" s="81"/>
      <c r="I25" s="81" t="s">
        <v>279</v>
      </c>
      <c r="J25" s="82" t="s">
        <v>280</v>
      </c>
      <c r="K25" s="80" t="s">
        <v>79</v>
      </c>
      <c r="L25" s="81" t="s">
        <v>278</v>
      </c>
      <c r="M25" s="81"/>
      <c r="N25" s="81" t="s">
        <v>279</v>
      </c>
      <c r="O25" s="82" t="s">
        <v>280</v>
      </c>
      <c r="P25" s="152" t="s">
        <v>281</v>
      </c>
      <c r="Q25" s="75"/>
      <c r="R25" s="80" t="s">
        <v>282</v>
      </c>
      <c r="S25" s="81" t="s">
        <v>283</v>
      </c>
    </row>
    <row r="26" spans="1:20" ht="16.5" customHeight="1">
      <c r="A26" s="39" t="str">
        <f>A11</f>
        <v/>
      </c>
      <c r="B26" s="83"/>
      <c r="C26" s="84" t="str">
        <f>Forze!J46</f>
        <v/>
      </c>
      <c r="D26" s="45" t="str">
        <f>D11</f>
        <v/>
      </c>
      <c r="E26" s="45" t="str">
        <f>IF(OR(A26="",IF($D$6="",B26,$E$21)=0),"",IF($D$6="",B26,$E$21))</f>
        <v/>
      </c>
      <c r="F26" s="85" t="str">
        <f t="shared" ref="F26:F31" si="23">IF(A26="","",CONCATENATE(A26,IF(A27&lt;&gt;"",""," testa")))</f>
        <v/>
      </c>
      <c r="G26" s="86" t="str">
        <f t="shared" ref="G26:G32" si="24">IF(C26="","",C26/E26)</f>
        <v/>
      </c>
      <c r="H26" s="84" t="str">
        <f>IF(F26="","",IF(AND(G26&lt;&gt;"",G27=""),$H$7,IF(AND(G26&lt;&gt;"",G27&lt;&gt;""),0.5,1-H25)))</f>
        <v/>
      </c>
      <c r="I26" s="84" t="str">
        <f t="shared" ref="I26:I32" si="25">IF(H26="","",G26*D26*H26)</f>
        <v/>
      </c>
      <c r="J26" s="87" t="str">
        <f>IF(I26="","",I26*IF($H$1=2,1, 1.5))</f>
        <v/>
      </c>
      <c r="K26" s="88"/>
      <c r="L26" s="84" t="str">
        <f>IF(A26="","",G26*K26)</f>
        <v/>
      </c>
      <c r="M26" s="84" t="str">
        <f t="shared" ref="M26:M31" si="26">IF(F26="","",IF(AND(L26&lt;&gt;"",L27=""),$M$7,IF(AND(L26&lt;&gt;"",L27&lt;&gt;""),0.5,1-M25)))</f>
        <v/>
      </c>
      <c r="N26" s="84" t="str">
        <f t="shared" ref="N26:N32" si="27">IF(M26="","",L26*D26*M26)</f>
        <v/>
      </c>
      <c r="O26" s="87" t="str">
        <f t="shared" ref="O26:O32" si="28">IF(N26="","",N26*IF($H$1=2,1, 1.5))</f>
        <v/>
      </c>
      <c r="P26" s="84" t="str">
        <f t="shared" ref="P26:P31" si="29">IF(A26="","",IF(P25="",0,P25)+S26)</f>
        <v/>
      </c>
      <c r="Q26" s="85" t="str">
        <f t="shared" ref="Q26:Q31" si="30">F26</f>
        <v/>
      </c>
      <c r="R26" s="86" t="str">
        <f t="shared" ref="R26:R31" si="31">IF(A26="","",(IF(I25="",0,I25)+I26)/2)</f>
        <v/>
      </c>
      <c r="S26" s="84" t="str">
        <f>IF(A26="","",2*R26/S22)</f>
        <v/>
      </c>
    </row>
    <row r="27" spans="1:20" ht="16.5" customHeight="1">
      <c r="A27" s="39" t="str">
        <f t="shared" ref="A27:A33" si="32">A12</f>
        <v/>
      </c>
      <c r="B27" s="89"/>
      <c r="C27" s="84" t="str">
        <f>Forze!J47</f>
        <v/>
      </c>
      <c r="D27" s="45" t="str">
        <f t="shared" ref="D27:D33" si="33">D12</f>
        <v/>
      </c>
      <c r="E27" s="45" t="str">
        <f t="shared" ref="E27:E33" si="34">IF(OR(A27="",IF($D$6="",B27,$E$21)=0),"",IF($D$6="",B27,$E$21))</f>
        <v/>
      </c>
      <c r="F27" s="85" t="str">
        <f t="shared" si="23"/>
        <v/>
      </c>
      <c r="G27" s="86" t="str">
        <f t="shared" si="24"/>
        <v/>
      </c>
      <c r="H27" s="84" t="str">
        <f>IF(F27="","",IF(AND(G27&lt;&gt;"",G28=""),$H$7,IF(AND(G27&lt;&gt;"",G28&lt;&gt;""),0.5,1-H26)))</f>
        <v/>
      </c>
      <c r="I27" s="84" t="str">
        <f t="shared" si="25"/>
        <v/>
      </c>
      <c r="J27" s="87" t="str">
        <f t="shared" ref="J27:J32" si="35">IF(I27="","",I27*IF($H$1=2,1, 1.5))</f>
        <v/>
      </c>
      <c r="K27" s="88"/>
      <c r="L27" s="84" t="str">
        <f t="shared" ref="L27:L32" si="36">IF(A27="","",G27*K27)</f>
        <v/>
      </c>
      <c r="M27" s="84" t="str">
        <f t="shared" si="26"/>
        <v/>
      </c>
      <c r="N27" s="84" t="str">
        <f t="shared" si="27"/>
        <v/>
      </c>
      <c r="O27" s="87" t="str">
        <f t="shared" si="28"/>
        <v/>
      </c>
      <c r="P27" s="84" t="str">
        <f>IF(A27="","",IF(P26="",0,P26)+S27)</f>
        <v/>
      </c>
      <c r="Q27" s="85" t="str">
        <f t="shared" si="30"/>
        <v/>
      </c>
      <c r="R27" s="86" t="str">
        <f t="shared" si="31"/>
        <v/>
      </c>
      <c r="S27" s="84" t="str">
        <f>IF(A27="","",2*R27/S22)</f>
        <v/>
      </c>
    </row>
    <row r="28" spans="1:20" ht="16.5" customHeight="1">
      <c r="A28" s="39" t="str">
        <f t="shared" si="32"/>
        <v/>
      </c>
      <c r="B28" s="89"/>
      <c r="C28" s="84" t="str">
        <f>Forze!J48</f>
        <v/>
      </c>
      <c r="D28" s="45" t="str">
        <f t="shared" si="33"/>
        <v/>
      </c>
      <c r="E28" s="45" t="str">
        <f t="shared" si="34"/>
        <v/>
      </c>
      <c r="F28" s="85" t="str">
        <f t="shared" si="23"/>
        <v/>
      </c>
      <c r="G28" s="86" t="str">
        <f t="shared" si="24"/>
        <v/>
      </c>
      <c r="H28" s="84" t="str">
        <f>IF(F28="","",IF(AND(G28&lt;&gt;"",G29=""),$H$7,IF(AND(G28&lt;&gt;"",G29&lt;&gt;""),0.5,1-H27)))</f>
        <v/>
      </c>
      <c r="I28" s="84" t="str">
        <f t="shared" si="25"/>
        <v/>
      </c>
      <c r="J28" s="87" t="str">
        <f t="shared" si="35"/>
        <v/>
      </c>
      <c r="K28" s="88"/>
      <c r="L28" s="84" t="str">
        <f t="shared" si="36"/>
        <v/>
      </c>
      <c r="M28" s="84" t="str">
        <f t="shared" si="26"/>
        <v/>
      </c>
      <c r="N28" s="84" t="str">
        <f t="shared" si="27"/>
        <v/>
      </c>
      <c r="O28" s="87" t="str">
        <f t="shared" si="28"/>
        <v/>
      </c>
      <c r="P28" s="84" t="str">
        <f t="shared" si="29"/>
        <v/>
      </c>
      <c r="Q28" s="85" t="str">
        <f t="shared" si="30"/>
        <v/>
      </c>
      <c r="R28" s="86" t="str">
        <f t="shared" si="31"/>
        <v/>
      </c>
      <c r="S28" s="84" t="str">
        <f>IF(A28="","",2*R28/S22)</f>
        <v/>
      </c>
    </row>
    <row r="29" spans="1:20" ht="16.5" customHeight="1">
      <c r="A29" s="39">
        <f t="shared" si="32"/>
        <v>5</v>
      </c>
      <c r="B29" s="89">
        <v>14</v>
      </c>
      <c r="C29" s="84">
        <f>Forze!J49</f>
        <v>689.75849826153683</v>
      </c>
      <c r="D29" s="45">
        <f t="shared" si="33"/>
        <v>3.1999999999999993</v>
      </c>
      <c r="E29" s="45">
        <f t="shared" si="34"/>
        <v>14</v>
      </c>
      <c r="F29" s="85" t="str">
        <f t="shared" si="23"/>
        <v>5</v>
      </c>
      <c r="G29" s="86">
        <f t="shared" si="24"/>
        <v>49.268464161538347</v>
      </c>
      <c r="H29" s="84">
        <f>IF(F29="","",IF(AND(G29&lt;&gt;"",G30=""),$H$7,IF(AND(G29&lt;&gt;"",G30&lt;&gt;""),0.5,1-H28)))</f>
        <v>0.5</v>
      </c>
      <c r="I29" s="84">
        <f t="shared" si="25"/>
        <v>78.829542658461335</v>
      </c>
      <c r="J29" s="87">
        <f t="shared" si="35"/>
        <v>118.24431398769201</v>
      </c>
      <c r="K29" s="88">
        <v>0.6</v>
      </c>
      <c r="L29" s="84">
        <f t="shared" si="36"/>
        <v>29.561078496923006</v>
      </c>
      <c r="M29" s="84">
        <f t="shared" si="26"/>
        <v>0.5</v>
      </c>
      <c r="N29" s="84">
        <f t="shared" si="27"/>
        <v>47.297725595076798</v>
      </c>
      <c r="O29" s="87">
        <f t="shared" si="28"/>
        <v>70.946588392615197</v>
      </c>
      <c r="P29" s="84">
        <f t="shared" si="29"/>
        <v>19.226717721575938</v>
      </c>
      <c r="Q29" s="85" t="str">
        <f t="shared" si="30"/>
        <v>5</v>
      </c>
      <c r="R29" s="86">
        <f t="shared" si="31"/>
        <v>39.414771329230668</v>
      </c>
      <c r="S29" s="84">
        <f>IF(A29="","",2*R29/S22)</f>
        <v>19.226717721575938</v>
      </c>
    </row>
    <row r="30" spans="1:20" ht="16.5" customHeight="1">
      <c r="A30" s="39">
        <f t="shared" si="32"/>
        <v>4</v>
      </c>
      <c r="B30" s="89">
        <v>14</v>
      </c>
      <c r="C30" s="84">
        <f>Forze!J50</f>
        <v>1214.1137083740355</v>
      </c>
      <c r="D30" s="45">
        <f t="shared" si="33"/>
        <v>3.1999999999999993</v>
      </c>
      <c r="E30" s="45">
        <f t="shared" si="34"/>
        <v>14</v>
      </c>
      <c r="F30" s="85" t="str">
        <f t="shared" si="23"/>
        <v>4</v>
      </c>
      <c r="G30" s="86">
        <f t="shared" si="24"/>
        <v>86.722407741002527</v>
      </c>
      <c r="H30" s="84">
        <f>IF(F30="","",IF(AND(G30&lt;&gt;"",G31=""),$H$7,IF(AND(G30&lt;&gt;"",G31&lt;&gt;""),0.5,1-H29)))</f>
        <v>0.5</v>
      </c>
      <c r="I30" s="84">
        <f t="shared" si="25"/>
        <v>138.75585238560402</v>
      </c>
      <c r="J30" s="87">
        <f t="shared" si="35"/>
        <v>208.13377857840601</v>
      </c>
      <c r="K30" s="88">
        <v>0.6</v>
      </c>
      <c r="L30" s="84">
        <f t="shared" si="36"/>
        <v>52.033444644601516</v>
      </c>
      <c r="M30" s="84">
        <f t="shared" si="26"/>
        <v>0.5</v>
      </c>
      <c r="N30" s="84">
        <f t="shared" si="27"/>
        <v>83.253511431362412</v>
      </c>
      <c r="O30" s="87">
        <f t="shared" si="28"/>
        <v>124.88026714704361</v>
      </c>
      <c r="P30" s="84">
        <f t="shared" si="29"/>
        <v>72.296326268908956</v>
      </c>
      <c r="Q30" s="85" t="str">
        <f t="shared" si="30"/>
        <v>4</v>
      </c>
      <c r="R30" s="86">
        <f t="shared" si="31"/>
        <v>108.79269752203268</v>
      </c>
      <c r="S30" s="84">
        <f>IF(A30="","",2*R30/S22)</f>
        <v>53.069608547333019</v>
      </c>
    </row>
    <row r="31" spans="1:20" ht="16.5" customHeight="1">
      <c r="A31" s="39">
        <f t="shared" si="32"/>
        <v>3</v>
      </c>
      <c r="B31" s="89">
        <v>14</v>
      </c>
      <c r="C31" s="84">
        <f>Forze!J51</f>
        <v>1610.1862982755251</v>
      </c>
      <c r="D31" s="45">
        <f t="shared" si="33"/>
        <v>3.1999999999999993</v>
      </c>
      <c r="E31" s="45">
        <f t="shared" si="34"/>
        <v>14</v>
      </c>
      <c r="F31" s="85" t="str">
        <f t="shared" si="23"/>
        <v>3</v>
      </c>
      <c r="G31" s="86">
        <f t="shared" si="24"/>
        <v>115.01330701968037</v>
      </c>
      <c r="H31" s="84">
        <f>IF(F31="","",0.5)</f>
        <v>0.5</v>
      </c>
      <c r="I31" s="84">
        <f t="shared" si="25"/>
        <v>184.02129123148856</v>
      </c>
      <c r="J31" s="87">
        <f t="shared" si="35"/>
        <v>276.03193684723283</v>
      </c>
      <c r="K31" s="88">
        <v>0.6</v>
      </c>
      <c r="L31" s="84">
        <f t="shared" si="36"/>
        <v>69.007984211808221</v>
      </c>
      <c r="M31" s="84">
        <f t="shared" si="26"/>
        <v>0.5</v>
      </c>
      <c r="N31" s="84">
        <f t="shared" si="27"/>
        <v>110.41277473889313</v>
      </c>
      <c r="O31" s="87">
        <f t="shared" si="28"/>
        <v>165.61916210833971</v>
      </c>
      <c r="P31" s="84">
        <f t="shared" si="29"/>
        <v>151.02245885844374</v>
      </c>
      <c r="Q31" s="85" t="str">
        <f t="shared" si="30"/>
        <v>3</v>
      </c>
      <c r="R31" s="86">
        <f t="shared" si="31"/>
        <v>161.38857180854629</v>
      </c>
      <c r="S31" s="84">
        <f>IF(A31="","",2*R31/S22)</f>
        <v>78.726132589534785</v>
      </c>
    </row>
    <row r="32" spans="1:20" ht="16.5" customHeight="1">
      <c r="A32" s="39">
        <f t="shared" si="32"/>
        <v>2</v>
      </c>
      <c r="B32" s="89">
        <v>14</v>
      </c>
      <c r="C32" s="84">
        <f>Forze!J52</f>
        <v>1877.9762679660062</v>
      </c>
      <c r="D32" s="45">
        <f t="shared" si="33"/>
        <v>3.1999999999999997</v>
      </c>
      <c r="E32" s="45">
        <f t="shared" si="34"/>
        <v>14</v>
      </c>
      <c r="F32" s="85" t="str">
        <f>IF(A32="","",CONCATENATE(A32,IF(C33&lt;&gt;"",""," testa")))</f>
        <v>2</v>
      </c>
      <c r="G32" s="86">
        <f t="shared" si="24"/>
        <v>134.14116199757186</v>
      </c>
      <c r="H32" s="84">
        <f>IF(F33="2 piede",H22,0.5)</f>
        <v>0.5</v>
      </c>
      <c r="I32" s="84">
        <f t="shared" si="25"/>
        <v>214.62585919611496</v>
      </c>
      <c r="J32" s="87">
        <f t="shared" si="35"/>
        <v>321.93878879417241</v>
      </c>
      <c r="K32" s="88">
        <v>0.6</v>
      </c>
      <c r="L32" s="84">
        <f t="shared" si="36"/>
        <v>80.484697198543117</v>
      </c>
      <c r="M32" s="84">
        <f>IF(F33="2 piede",M22,0.5)</f>
        <v>0.5</v>
      </c>
      <c r="N32" s="84">
        <f t="shared" si="27"/>
        <v>128.77551551766896</v>
      </c>
      <c r="O32" s="87">
        <f t="shared" si="28"/>
        <v>193.16327327650345</v>
      </c>
      <c r="P32" s="84">
        <f>IF(A32="","",IF(P31="",0,P31)+S32)</f>
        <v>248.25347115785922</v>
      </c>
      <c r="Q32" s="85">
        <v>2</v>
      </c>
      <c r="R32" s="86">
        <f>IF(A32="","",(IF(I31="",0,I31)+I32)/2)</f>
        <v>199.32357521380175</v>
      </c>
      <c r="S32" s="84">
        <f>IF(A32="","",2*R32/S22)</f>
        <v>97.231012299415497</v>
      </c>
    </row>
    <row r="33" spans="1:19" ht="16.5" customHeight="1">
      <c r="A33" s="39">
        <f t="shared" si="32"/>
        <v>1</v>
      </c>
      <c r="B33" s="90">
        <v>14</v>
      </c>
      <c r="C33" s="84">
        <f>IF(A33="","",IF($H$1=2,"",Forze!J53))</f>
        <v>1991.4796200000001</v>
      </c>
      <c r="D33" s="45">
        <f t="shared" si="33"/>
        <v>3.48</v>
      </c>
      <c r="E33" s="45">
        <f t="shared" si="34"/>
        <v>14</v>
      </c>
      <c r="F33" s="85" t="str">
        <f>IF(F32="2 testa","2 piede",IF(A33="","",CONCATENATE(A33,IF(A34&lt;&gt;"",""," testa"))))</f>
        <v>1 testa</v>
      </c>
      <c r="G33" s="86">
        <f>IF(F33="2 piede",G32,C33/E33)</f>
        <v>142.2485442857143</v>
      </c>
      <c r="H33" s="84">
        <f>IF(F33="2 piede",1-H22,H22)</f>
        <v>0.4</v>
      </c>
      <c r="I33" s="84">
        <f>G33*H33*IF(F33="2 piede",D32,D33)</f>
        <v>198.00997364571433</v>
      </c>
      <c r="J33" s="87">
        <f>IF(I33="","",I33*IF(OR(F33="2 piede",$H$1=2),1, 1.5))</f>
        <v>297.01496046857147</v>
      </c>
      <c r="K33" s="88">
        <v>0.8</v>
      </c>
      <c r="L33" s="84">
        <f>IF(F33="2 piede",L32,G33*K33)</f>
        <v>113.79883542857145</v>
      </c>
      <c r="M33" s="84">
        <f>IF(F33="2 piede",1-M22,M22)</f>
        <v>0.4</v>
      </c>
      <c r="N33" s="84">
        <f>L33*M33*(IF(F33="2 piede",D32,D33))</f>
        <v>158.40797891657147</v>
      </c>
      <c r="O33" s="87">
        <f>IF(N33="","",N33*IF(OR(F33="2 piede",$H$1=2),1, 1.5))</f>
        <v>237.61196837485721</v>
      </c>
      <c r="P33" s="84">
        <f>IF(A33="","",IF(P32="",0,P32)+S33)</f>
        <v>348.89635721684198</v>
      </c>
      <c r="Q33" s="85">
        <f>IF($H$1=1,"",1)</f>
        <v>1</v>
      </c>
      <c r="R33" s="86">
        <f>IF(A33="","",(IF(OR(F33="2 piede",I32=""),0,I32)+I33)/2)</f>
        <v>206.31791642091463</v>
      </c>
      <c r="S33" s="84">
        <f>IF(A33="","",2*R33/S22)</f>
        <v>100.64288605898275</v>
      </c>
    </row>
    <row r="34" spans="1:19" ht="16.5" customHeight="1">
      <c r="F34" s="85" t="str">
        <f>IF(F33="1 testa","1 piede","")</f>
        <v>1 piede</v>
      </c>
      <c r="G34" s="86">
        <f>IF($H$1&lt;3,"",C33/E33)</f>
        <v>142.2485442857143</v>
      </c>
      <c r="H34" s="84">
        <f>IF(F34="","",1-H22)</f>
        <v>0.6</v>
      </c>
      <c r="I34" s="84">
        <f>IF(H34="","",G34*H34*D33)</f>
        <v>297.01496046857147</v>
      </c>
      <c r="J34" s="87">
        <f>IF(I34="","",I34)</f>
        <v>297.01496046857147</v>
      </c>
      <c r="K34" s="75"/>
      <c r="L34" s="84">
        <f>IF($H$1&lt;3,"",L33)</f>
        <v>113.79883542857145</v>
      </c>
      <c r="M34" s="84">
        <f>IF(F34="","",1-M22)</f>
        <v>0.6</v>
      </c>
      <c r="N34" s="84">
        <f>IF(M34="","",L34*M34*D33)</f>
        <v>237.61196837485716</v>
      </c>
      <c r="O34" s="87">
        <f>IF(N34="","",N34)</f>
        <v>237.61196837485716</v>
      </c>
      <c r="P34" s="84"/>
      <c r="Q34" s="85"/>
      <c r="R34" s="86"/>
      <c r="S34" s="84"/>
    </row>
    <row r="36" spans="1:19" ht="16.5" customHeight="1">
      <c r="A36" s="31" t="s">
        <v>90</v>
      </c>
    </row>
    <row r="38" spans="1:19" ht="16.5" customHeight="1">
      <c r="A38" s="34" t="s">
        <v>93</v>
      </c>
    </row>
    <row r="39" spans="1:19" ht="16.5" customHeight="1">
      <c r="A39" s="34" t="s">
        <v>94</v>
      </c>
    </row>
    <row r="40" spans="1:19" ht="16.5" customHeight="1">
      <c r="A40" s="34" t="s">
        <v>95</v>
      </c>
    </row>
    <row r="41" spans="1:19" ht="16.5" customHeight="1">
      <c r="A41" s="34" t="s">
        <v>97</v>
      </c>
    </row>
    <row r="43" spans="1:19" ht="16.5" customHeight="1">
      <c r="A43" s="34" t="s">
        <v>98</v>
      </c>
    </row>
    <row r="44" spans="1:19" ht="16.5" customHeight="1">
      <c r="A44" s="34" t="s">
        <v>96</v>
      </c>
    </row>
    <row r="46" spans="1:19" ht="16.5" customHeight="1">
      <c r="A46" s="34" t="s">
        <v>199</v>
      </c>
    </row>
    <row r="47" spans="1:19" ht="16.5" customHeight="1">
      <c r="A47" s="34" t="s">
        <v>200</v>
      </c>
    </row>
    <row r="49" spans="1:1" ht="16.5" customHeight="1">
      <c r="A49" s="34" t="s">
        <v>91</v>
      </c>
    </row>
    <row r="50" spans="1:1" ht="16.5" customHeight="1">
      <c r="A50" s="34" t="s">
        <v>92</v>
      </c>
    </row>
    <row r="52" spans="1:1" ht="16.5" customHeight="1">
      <c r="A52" s="34" t="s">
        <v>99</v>
      </c>
    </row>
  </sheetData>
  <sheetProtection sheet="1" selectLockedCells="1"/>
  <mergeCells count="1">
    <mergeCell ref="C4:E4"/>
  </mergeCells>
  <conditionalFormatting sqref="B10:B18 B25:B33">
    <cfRule type="expression" dxfId="66" priority="5">
      <formula>OR($C$4="lo stesso per tutti i piani",$A10="")</formula>
    </cfRule>
  </conditionalFormatting>
  <conditionalFormatting sqref="B11:B18 B26:B33">
    <cfRule type="expression" dxfId="65" priority="4">
      <formula>AND($C$4&lt;&gt;"lo stesso per tutti i piani",$A11&lt;&gt;"")</formula>
    </cfRule>
  </conditionalFormatting>
  <conditionalFormatting sqref="E6 E21">
    <cfRule type="expression" dxfId="64" priority="6">
      <formula>$C$4&lt;&gt;"lo stesso per tutti i piani"</formula>
    </cfRule>
    <cfRule type="expression" dxfId="63" priority="7">
      <formula>$C$4="lo stesso per tutti i piani"</formula>
    </cfRule>
  </conditionalFormatting>
  <conditionalFormatting sqref="N26:N33">
    <cfRule type="expression" dxfId="62" priority="3">
      <formula>$A26&lt;&gt;""</formula>
    </cfRule>
  </conditionalFormatting>
  <conditionalFormatting sqref="N34">
    <cfRule type="expression" dxfId="61" priority="1">
      <formula>$A$33&lt;&gt;""</formula>
    </cfRule>
  </conditionalFormatting>
  <dataValidations count="2">
    <dataValidation type="list" allowBlank="1" showInputMessage="1" showErrorMessage="1" sqref="C4" xr:uid="{00000000-0002-0000-0500-000000000000}">
      <formula1>"diverso piano per piano,lo stesso per tutti i piani"</formula1>
    </dataValidation>
    <dataValidation type="list" allowBlank="1" showInputMessage="1" showErrorMessage="1" sqref="H7 M7 H22 M22" xr:uid="{00000000-0002-0000-0500-000001000000}">
      <formula1>"0.5,0.4,0.3"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40"/>
  <sheetViews>
    <sheetView workbookViewId="0">
      <selection activeCell="B2" sqref="B2"/>
    </sheetView>
  </sheetViews>
  <sheetFormatPr defaultColWidth="9.1328125" defaultRowHeight="12.75"/>
  <cols>
    <col min="1" max="7" width="9.1328125" style="3"/>
    <col min="8" max="8" width="10" style="3" bestFit="1" customWidth="1"/>
    <col min="9" max="12" width="9.1328125" style="3"/>
    <col min="13" max="13" width="9.73046875" style="3" bestFit="1" customWidth="1"/>
    <col min="14" max="16384" width="9.1328125" style="3"/>
  </cols>
  <sheetData>
    <row r="2" spans="1:18" ht="13.15">
      <c r="A2" s="2" t="s">
        <v>104</v>
      </c>
      <c r="B2" s="14"/>
      <c r="G2" s="4" t="s">
        <v>105</v>
      </c>
      <c r="H2" s="27"/>
      <c r="K2" s="4" t="s">
        <v>106</v>
      </c>
      <c r="L2" s="164"/>
      <c r="M2" s="164"/>
      <c r="N2" s="164"/>
      <c r="O2" s="165"/>
      <c r="Q2" s="4" t="s">
        <v>108</v>
      </c>
      <c r="R2" s="5"/>
    </row>
    <row r="3" spans="1:18">
      <c r="R3" s="10" t="str">
        <f>IF(OR(AND(L2="molto vicino al baricentro",R2&gt;1.05),AND(L2="distanza intermedia dal baricentro",OR(R2&lt;1.05,R2&gt;1.15)),AND(L2="molto distante dal baricentro",R2&lt;1.15)),"sei sicuro?","")</f>
        <v/>
      </c>
    </row>
    <row r="4" spans="1:18">
      <c r="A4" s="4" t="s">
        <v>109</v>
      </c>
      <c r="B4" s="164"/>
      <c r="C4" s="165"/>
      <c r="F4" s="4" t="s">
        <v>110</v>
      </c>
      <c r="G4" s="164"/>
      <c r="H4" s="165"/>
      <c r="L4" s="4" t="s">
        <v>107</v>
      </c>
      <c r="M4" s="164"/>
      <c r="N4" s="165"/>
      <c r="O4" s="165"/>
      <c r="P4" s="28" t="str">
        <f>IF(M4="","",IF(M4="due pilastri di coltello",2,IF(M4="un pilastro di coltello",1,0)))</f>
        <v/>
      </c>
    </row>
    <row r="5" spans="1:18">
      <c r="A5" s="10" t="str">
        <f>IF(B4="a spessore","momento da  sisma trascurabile","")</f>
        <v/>
      </c>
      <c r="B5" s="17"/>
      <c r="D5" s="10" t="str">
        <f>IF(A5&lt;&gt;"","",IF(AND(G4="più corta delle altre",P4&gt;0),"il momento da sisma può essere maggiore delle previsioni",IF(AND(G4="più lunga delle altre",P4&gt;0),"il momento da sisma è probabilmente minore delle previsioni", "")))</f>
        <v/>
      </c>
      <c r="M5" s="10" t="str">
        <f>IF(P4=0,"il momento da sisma è meno rilevante","")</f>
        <v/>
      </c>
    </row>
    <row r="6" spans="1:18">
      <c r="F6" s="4" t="s">
        <v>112</v>
      </c>
      <c r="G6" s="1" t="s">
        <v>125</v>
      </c>
      <c r="H6" s="12"/>
      <c r="I6" s="3" t="s">
        <v>111</v>
      </c>
      <c r="N6" s="4" t="s">
        <v>113</v>
      </c>
      <c r="O6" s="1" t="s">
        <v>121</v>
      </c>
      <c r="P6" s="13"/>
      <c r="Q6" s="1" t="s">
        <v>122</v>
      </c>
      <c r="R6" s="13"/>
    </row>
    <row r="8" spans="1:18" ht="14.25">
      <c r="A8" s="1" t="s">
        <v>50</v>
      </c>
      <c r="B8" s="166" t="s">
        <v>126</v>
      </c>
      <c r="C8" s="167"/>
      <c r="D8" s="167"/>
      <c r="E8" s="166" t="s">
        <v>127</v>
      </c>
      <c r="F8" s="168"/>
      <c r="G8" s="166" t="s">
        <v>123</v>
      </c>
      <c r="H8" s="168"/>
      <c r="I8" s="166" t="s">
        <v>124</v>
      </c>
      <c r="J8" s="168"/>
    </row>
    <row r="9" spans="1:18">
      <c r="B9" s="8" t="s">
        <v>114</v>
      </c>
      <c r="C9" s="1" t="s">
        <v>115</v>
      </c>
      <c r="D9" s="1" t="s">
        <v>116</v>
      </c>
      <c r="E9" s="8" t="s">
        <v>115</v>
      </c>
      <c r="F9" s="1" t="s">
        <v>116</v>
      </c>
      <c r="G9" s="8" t="s">
        <v>115</v>
      </c>
      <c r="H9" s="1" t="s">
        <v>116</v>
      </c>
      <c r="I9" s="8" t="s">
        <v>115</v>
      </c>
      <c r="J9" s="1" t="s">
        <v>116</v>
      </c>
    </row>
    <row r="10" spans="1:18">
      <c r="A10" s="1" t="str">
        <f>CarSoll!$A$11</f>
        <v/>
      </c>
      <c r="B10" s="9" t="str">
        <f>IF(A10="","",IF(H2="",0,IF(H2="x",VLOOKUP(A10,CarSoll!$A$11:$S$19,18,FALSE),VLOOKUP(A10,CarSoll!$A$26:$S$34,18,FALSE))))</f>
        <v/>
      </c>
      <c r="C10" s="7" t="str">
        <f>IF(A10="","",IF(B4="a spessore",0,B10*R2*IF(P4=0,0.3,1)))</f>
        <v/>
      </c>
      <c r="D10" s="7" t="str">
        <f>IF(A10="","",C10*(1-P6))</f>
        <v/>
      </c>
      <c r="E10" s="9" t="str">
        <f>IF(A10="","",H6)</f>
        <v/>
      </c>
      <c r="F10" s="7" t="str">
        <f>IF(A10="","",E10*(1-R6))</f>
        <v/>
      </c>
      <c r="G10" s="9" t="str">
        <f>IF(A10="","",-C10-E10)</f>
        <v/>
      </c>
      <c r="H10" s="7" t="str">
        <f>IF(B10="","",-D10-F10)</f>
        <v/>
      </c>
      <c r="I10" s="9" t="str">
        <f>IF(A10="","",C10-E10)</f>
        <v/>
      </c>
      <c r="J10" s="7" t="str">
        <f>IF(B10="","",D10-F10)</f>
        <v/>
      </c>
    </row>
    <row r="11" spans="1:18">
      <c r="A11" s="1" t="str">
        <f>CarSoll!$A$12</f>
        <v/>
      </c>
      <c r="B11" s="9" t="str">
        <f>IF(A11="","",IF(H2="",0,IF(H2="x",VLOOKUP(A11,CarSoll!$A$11:$S$19,18,FALSE),VLOOKUP(A11,CarSoll!$A$26:$S$34,18,FALSE))))</f>
        <v/>
      </c>
      <c r="C11" s="7" t="str">
        <f>IF(A11="","",IF(B4="a spessore",0,B11*R2*IF(P4=0,0.3,1)))</f>
        <v/>
      </c>
      <c r="D11" s="7" t="str">
        <f>IF(A11="","",C11*(1-P6))</f>
        <v/>
      </c>
      <c r="E11" s="9" t="str">
        <f>IF(A11="","",H6)</f>
        <v/>
      </c>
      <c r="F11" s="7" t="str">
        <f>IF(A11="","",E11*(1-R6))</f>
        <v/>
      </c>
      <c r="G11" s="9" t="str">
        <f t="shared" ref="G11:G17" si="0">IF(A11="","",-C11-E11)</f>
        <v/>
      </c>
      <c r="H11" s="7" t="str">
        <f t="shared" ref="H11:H17" si="1">IF(B11="","",-D11-F11)</f>
        <v/>
      </c>
      <c r="I11" s="9" t="str">
        <f t="shared" ref="I11:I17" si="2">IF(A11="","",C11-E11)</f>
        <v/>
      </c>
      <c r="J11" s="7" t="str">
        <f t="shared" ref="J11:J17" si="3">IF(B11="","",D11-F11)</f>
        <v/>
      </c>
    </row>
    <row r="12" spans="1:18">
      <c r="A12" s="1" t="str">
        <f>CarSoll!$A$13</f>
        <v/>
      </c>
      <c r="B12" s="9" t="str">
        <f>IF(A12="","",IF(H2="",0,IF(H2="x",VLOOKUP(A12,CarSoll!$A$11:$S$19,18,FALSE),VLOOKUP(A12,CarSoll!$A$26:$S$34,18,FALSE))))</f>
        <v/>
      </c>
      <c r="C12" s="7" t="str">
        <f>IF(A12="","",IF(B4="a spessore",0,B12*R2*IF(P4=0,0.3,1)))</f>
        <v/>
      </c>
      <c r="D12" s="7" t="str">
        <f>IF(A12="","",C12*(1-P6))</f>
        <v/>
      </c>
      <c r="E12" s="9" t="str">
        <f>IF(A12="","",H6)</f>
        <v/>
      </c>
      <c r="F12" s="7" t="str">
        <f>IF(A12="","",E12*(1-R6))</f>
        <v/>
      </c>
      <c r="G12" s="9" t="str">
        <f t="shared" si="0"/>
        <v/>
      </c>
      <c r="H12" s="7" t="str">
        <f t="shared" si="1"/>
        <v/>
      </c>
      <c r="I12" s="9" t="str">
        <f t="shared" si="2"/>
        <v/>
      </c>
      <c r="J12" s="7" t="str">
        <f t="shared" si="3"/>
        <v/>
      </c>
    </row>
    <row r="13" spans="1:18">
      <c r="A13" s="1">
        <f>CarSoll!$A$14</f>
        <v>5</v>
      </c>
      <c r="B13" s="9">
        <f>IF(A13="","",IF(H2="",0,IF(H2="x",VLOOKUP(A13,CarSoll!$A$11:$S$19,18,FALSE),VLOOKUP(A13,CarSoll!$A$26:$S$34,18,FALSE))))</f>
        <v>0</v>
      </c>
      <c r="C13" s="7">
        <f>IF(A13="","",IF(B4="a spessore",0,B13*R2*IF(P4=0,0.3,1)))</f>
        <v>0</v>
      </c>
      <c r="D13" s="7">
        <f>IF(A13="","",C13*(1-P6))</f>
        <v>0</v>
      </c>
      <c r="E13" s="9">
        <f>IF(A13="","",H6)</f>
        <v>0</v>
      </c>
      <c r="F13" s="7">
        <f>IF(A13="","",E13*(1-R6))</f>
        <v>0</v>
      </c>
      <c r="G13" s="9">
        <f t="shared" si="0"/>
        <v>0</v>
      </c>
      <c r="H13" s="7">
        <f t="shared" si="1"/>
        <v>0</v>
      </c>
      <c r="I13" s="9">
        <f t="shared" si="2"/>
        <v>0</v>
      </c>
      <c r="J13" s="7">
        <f t="shared" si="3"/>
        <v>0</v>
      </c>
    </row>
    <row r="14" spans="1:18">
      <c r="A14" s="1">
        <f>CarSoll!$A$15</f>
        <v>4</v>
      </c>
      <c r="B14" s="9">
        <f>IF(A14="","",IF(H2="",0,IF(H2="x",VLOOKUP(A14,CarSoll!$A$11:$S$19,18,FALSE),VLOOKUP(A14,CarSoll!$A$26:$S$34,18,FALSE))))</f>
        <v>0</v>
      </c>
      <c r="C14" s="7">
        <f>IF(A14="","",IF(B4="a spessore",0,B14*R2*IF(P4=0,0.3,1)))</f>
        <v>0</v>
      </c>
      <c r="D14" s="7">
        <f>IF(A14="","",C14*(1-P6))</f>
        <v>0</v>
      </c>
      <c r="E14" s="9">
        <f>IF(A14="","",H6)</f>
        <v>0</v>
      </c>
      <c r="F14" s="7">
        <f>IF(A14="","",E14*(1-R6))</f>
        <v>0</v>
      </c>
      <c r="G14" s="9">
        <f t="shared" si="0"/>
        <v>0</v>
      </c>
      <c r="H14" s="7">
        <f t="shared" si="1"/>
        <v>0</v>
      </c>
      <c r="I14" s="9">
        <f t="shared" si="2"/>
        <v>0</v>
      </c>
      <c r="J14" s="7">
        <f t="shared" si="3"/>
        <v>0</v>
      </c>
      <c r="L14" s="29" t="s">
        <v>152</v>
      </c>
    </row>
    <row r="15" spans="1:18">
      <c r="A15" s="1">
        <f>CarSoll!$A$16</f>
        <v>3</v>
      </c>
      <c r="B15" s="9">
        <f>IF(A15="","",IF(H2="",0,IF(H2="x",VLOOKUP(A15,CarSoll!$A$11:$S$19,18,FALSE),VLOOKUP(A15,CarSoll!$A$26:$S$34,18,FALSE))))</f>
        <v>0</v>
      </c>
      <c r="C15" s="7">
        <f>IF(A15="","",IF(B4="a spessore",0,B15*R2*IF(P4=0,0.3,1)))</f>
        <v>0</v>
      </c>
      <c r="D15" s="7">
        <f>IF(A15="","",C15*(1-P6))</f>
        <v>0</v>
      </c>
      <c r="E15" s="9">
        <f>IF(A15="","",H6)</f>
        <v>0</v>
      </c>
      <c r="F15" s="7">
        <f>IF(A15="","",E15*(1-R6))</f>
        <v>0</v>
      </c>
      <c r="G15" s="9">
        <f t="shared" si="0"/>
        <v>0</v>
      </c>
      <c r="H15" s="7">
        <f t="shared" si="1"/>
        <v>0</v>
      </c>
      <c r="I15" s="9">
        <f t="shared" si="2"/>
        <v>0</v>
      </c>
      <c r="J15" s="7">
        <f t="shared" si="3"/>
        <v>0</v>
      </c>
      <c r="L15" s="163"/>
      <c r="M15" s="163"/>
      <c r="N15" s="163"/>
      <c r="O15" s="163"/>
      <c r="P15" s="163"/>
      <c r="Q15" s="163"/>
      <c r="R15" s="163"/>
    </row>
    <row r="16" spans="1:18">
      <c r="A16" s="1">
        <f>CarSoll!$A$17</f>
        <v>2</v>
      </c>
      <c r="B16" s="9">
        <f>IF(A16="","",IF(H2="",0,IF(H2="x",VLOOKUP(A16,CarSoll!$A$11:$S$19,18,FALSE),VLOOKUP(A16,CarSoll!$A$26:$S$34,18,FALSE))))</f>
        <v>0</v>
      </c>
      <c r="C16" s="7">
        <f>IF(A16="","",IF(B4="a spessore",0,B16*R2*IF(P4=0,0.3,1)))</f>
        <v>0</v>
      </c>
      <c r="D16" s="7">
        <f>IF(A16="","",C16*(1-P6))</f>
        <v>0</v>
      </c>
      <c r="E16" s="9">
        <f>IF(A16="","",H6)</f>
        <v>0</v>
      </c>
      <c r="F16" s="7">
        <f>IF(A16="","",E16*(1-R6))</f>
        <v>0</v>
      </c>
      <c r="G16" s="9">
        <f t="shared" si="0"/>
        <v>0</v>
      </c>
      <c r="H16" s="7">
        <f t="shared" si="1"/>
        <v>0</v>
      </c>
      <c r="I16" s="9">
        <f t="shared" si="2"/>
        <v>0</v>
      </c>
      <c r="J16" s="7">
        <f t="shared" si="3"/>
        <v>0</v>
      </c>
      <c r="L16" s="163"/>
      <c r="M16" s="163"/>
      <c r="N16" s="163"/>
      <c r="O16" s="163"/>
      <c r="P16" s="163"/>
      <c r="Q16" s="163"/>
      <c r="R16" s="163"/>
    </row>
    <row r="17" spans="1:19">
      <c r="A17" s="1">
        <f>CarSoll!$A$18</f>
        <v>1</v>
      </c>
      <c r="B17" s="9">
        <f>IF(A17="","",IF(H2="",0,IF(H2="x",VLOOKUP(A17,CarSoll!$A$11:$S$19,18,FALSE),VLOOKUP(A17,CarSoll!$A$26:$S$34,18,FALSE))))</f>
        <v>0</v>
      </c>
      <c r="C17" s="7">
        <f>IF(A17="","",IF(B4="a spessore",0,B17*R2*IF(P4=0,0.3,1)))</f>
        <v>0</v>
      </c>
      <c r="D17" s="7">
        <f>IF(A17="","",C17*(1-P6))</f>
        <v>0</v>
      </c>
      <c r="E17" s="9">
        <f>IF(A17="","",H6)</f>
        <v>0</v>
      </c>
      <c r="F17" s="7">
        <f>IF(A17="","",E17*(1-R6))</f>
        <v>0</v>
      </c>
      <c r="G17" s="9">
        <f t="shared" si="0"/>
        <v>0</v>
      </c>
      <c r="H17" s="7">
        <f t="shared" si="1"/>
        <v>0</v>
      </c>
      <c r="I17" s="9">
        <f t="shared" si="2"/>
        <v>0</v>
      </c>
      <c r="J17" s="7">
        <f t="shared" si="3"/>
        <v>0</v>
      </c>
      <c r="L17" s="163"/>
      <c r="M17" s="163"/>
      <c r="N17" s="163"/>
      <c r="O17" s="163"/>
      <c r="P17" s="163"/>
      <c r="Q17" s="163"/>
      <c r="R17" s="163"/>
    </row>
    <row r="18" spans="1:19">
      <c r="B18" s="6"/>
      <c r="E18" s="9" t="str">
        <f>IF(A18="","",#REF!)</f>
        <v/>
      </c>
      <c r="F18" s="7" t="str">
        <f>IF(A18="","",E18*(1-#REF!))</f>
        <v/>
      </c>
      <c r="G18" s="6"/>
      <c r="I18" s="6"/>
    </row>
    <row r="19" spans="1:19" ht="13.15">
      <c r="G19" s="18" t="s">
        <v>117</v>
      </c>
      <c r="H19" s="19" t="s">
        <v>133</v>
      </c>
    </row>
    <row r="20" spans="1:19">
      <c r="A20" s="20"/>
      <c r="B20" s="20"/>
      <c r="C20" s="20"/>
      <c r="D20" s="20"/>
      <c r="E20" s="20"/>
      <c r="F20" s="20"/>
      <c r="G20" s="21"/>
      <c r="H20" s="22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</row>
    <row r="22" spans="1:19" ht="13.15">
      <c r="A22" s="2" t="s">
        <v>104</v>
      </c>
      <c r="B22" s="14"/>
      <c r="G22" s="4" t="s">
        <v>105</v>
      </c>
      <c r="H22" s="27"/>
      <c r="K22" s="4" t="s">
        <v>106</v>
      </c>
      <c r="L22" s="164"/>
      <c r="M22" s="164"/>
      <c r="N22" s="164"/>
      <c r="O22" s="165"/>
      <c r="Q22" s="4" t="s">
        <v>108</v>
      </c>
      <c r="R22" s="5"/>
    </row>
    <row r="23" spans="1:19">
      <c r="R23" s="10" t="str">
        <f>IF(OR(AND(L22="molto vicino al baricentro",R22&gt;1.05),AND(L22="distanza intermedia dal baricentro",OR(R22&lt;1.05,R22&gt;1.15)),AND(L22="molto distante dal baricentro",R22&lt;1.15)),"sei sicuro?","")</f>
        <v/>
      </c>
    </row>
    <row r="24" spans="1:19">
      <c r="A24" s="4" t="s">
        <v>109</v>
      </c>
      <c r="B24" s="164"/>
      <c r="C24" s="165"/>
      <c r="F24" s="4" t="s">
        <v>110</v>
      </c>
      <c r="G24" s="164"/>
      <c r="H24" s="165"/>
      <c r="L24" s="4" t="s">
        <v>107</v>
      </c>
      <c r="M24" s="164"/>
      <c r="N24" s="165"/>
      <c r="O24" s="165"/>
      <c r="P24" s="28" t="str">
        <f>IF(M24="","",IF(M24="due pilastri di coltello",2,IF(M24="un pilastro di coltello",1,0)))</f>
        <v/>
      </c>
    </row>
    <row r="25" spans="1:19">
      <c r="A25" s="10" t="str">
        <f>IF(B24="a spessore","momento da  sisma trascurabile","")</f>
        <v/>
      </c>
      <c r="B25" s="17"/>
      <c r="D25" s="10" t="str">
        <f>IF(A25&lt;&gt;"","",IF(AND(G24="più corta delle altre",P24&gt;0),"il momento da sisma può essere maggiore delle previsioni",IF(AND(G24="più lunga delle altre",P24&gt;0),"il momento da sisma è probabilmente minore delle previsioni", "")))</f>
        <v/>
      </c>
      <c r="M25" s="10" t="str">
        <f>IF(P24=0,"il momento da sisma è meno rilevante","")</f>
        <v/>
      </c>
    </row>
    <row r="26" spans="1:19">
      <c r="F26" s="4" t="s">
        <v>112</v>
      </c>
      <c r="G26" s="1" t="s">
        <v>125</v>
      </c>
      <c r="H26" s="12"/>
      <c r="I26" s="3" t="s">
        <v>111</v>
      </c>
      <c r="N26" s="4" t="s">
        <v>113</v>
      </c>
      <c r="O26" s="1" t="s">
        <v>121</v>
      </c>
      <c r="P26" s="13"/>
      <c r="Q26" s="1" t="s">
        <v>122</v>
      </c>
      <c r="R26" s="13"/>
    </row>
    <row r="28" spans="1:19" ht="14.25">
      <c r="A28" s="1" t="s">
        <v>50</v>
      </c>
      <c r="B28" s="166" t="s">
        <v>126</v>
      </c>
      <c r="C28" s="167"/>
      <c r="D28" s="167"/>
      <c r="E28" s="166" t="s">
        <v>127</v>
      </c>
      <c r="F28" s="168"/>
      <c r="G28" s="166" t="s">
        <v>123</v>
      </c>
      <c r="H28" s="168"/>
      <c r="I28" s="166" t="s">
        <v>124</v>
      </c>
      <c r="J28" s="168"/>
    </row>
    <row r="29" spans="1:19">
      <c r="B29" s="8" t="s">
        <v>114</v>
      </c>
      <c r="C29" s="1" t="s">
        <v>115</v>
      </c>
      <c r="D29" s="1" t="s">
        <v>116</v>
      </c>
      <c r="E29" s="8" t="s">
        <v>115</v>
      </c>
      <c r="F29" s="1" t="s">
        <v>116</v>
      </c>
      <c r="G29" s="8" t="s">
        <v>115</v>
      </c>
      <c r="H29" s="1" t="s">
        <v>116</v>
      </c>
      <c r="I29" s="8" t="s">
        <v>115</v>
      </c>
      <c r="J29" s="1" t="s">
        <v>116</v>
      </c>
    </row>
    <row r="30" spans="1:19">
      <c r="A30" s="1" t="str">
        <f>CarSoll!$A$11</f>
        <v/>
      </c>
      <c r="B30" s="9" t="str">
        <f>IF(A30="","",IF(H22="",0,IF(H22="x",VLOOKUP(A30,CarSoll!$A$11:$S$19,18,FALSE),VLOOKUP(A30,CarSoll!$A$26:$S$34,18,FALSE))))</f>
        <v/>
      </c>
      <c r="C30" s="7" t="str">
        <f>IF(A30="","",IF(B24="a spessore",0,B30*R22*IF(P24=0,0.3,1)))</f>
        <v/>
      </c>
      <c r="D30" s="7" t="str">
        <f>IF(A30="","",C30*(1-P26))</f>
        <v/>
      </c>
      <c r="E30" s="9" t="str">
        <f>IF(A30="","",H26)</f>
        <v/>
      </c>
      <c r="F30" s="7" t="str">
        <f>IF(A30="","",E30*(1-R26))</f>
        <v/>
      </c>
      <c r="G30" s="9" t="str">
        <f>IF(A30="","",-C30-E30)</f>
        <v/>
      </c>
      <c r="H30" s="7" t="str">
        <f>IF(B30="","",-D30-F30)</f>
        <v/>
      </c>
      <c r="I30" s="9" t="str">
        <f>IF(A30="","",C30-E30)</f>
        <v/>
      </c>
      <c r="J30" s="7" t="str">
        <f>IF(B30="","",D30-F30)</f>
        <v/>
      </c>
    </row>
    <row r="31" spans="1:19">
      <c r="A31" s="1" t="str">
        <f>CarSoll!$A$12</f>
        <v/>
      </c>
      <c r="B31" s="9" t="str">
        <f>IF(A31="","",IF(H22="",0,IF(H22="x",VLOOKUP(A31,CarSoll!$A$11:$S$19,18,FALSE),VLOOKUP(A31,CarSoll!$A$26:$S$34,18,FALSE))))</f>
        <v/>
      </c>
      <c r="C31" s="7" t="str">
        <f>IF(A31="","",IF(B24="a spessore",0,B31*R22*IF(P24=0,0.3,1)))</f>
        <v/>
      </c>
      <c r="D31" s="7" t="str">
        <f>IF(A31="","",C31*(1-P26))</f>
        <v/>
      </c>
      <c r="E31" s="9" t="str">
        <f>IF(A31="","",H26)</f>
        <v/>
      </c>
      <c r="F31" s="7" t="str">
        <f>IF(A31="","",E31*(1-R26))</f>
        <v/>
      </c>
      <c r="G31" s="9" t="str">
        <f t="shared" ref="G31:G37" si="4">IF(A31="","",-C31-E31)</f>
        <v/>
      </c>
      <c r="H31" s="7" t="str">
        <f t="shared" ref="H31:H37" si="5">IF(B31="","",-D31-F31)</f>
        <v/>
      </c>
      <c r="I31" s="9" t="str">
        <f t="shared" ref="I31:I37" si="6">IF(A31="","",C31-E31)</f>
        <v/>
      </c>
      <c r="J31" s="7" t="str">
        <f t="shared" ref="J31:J37" si="7">IF(B31="","",D31-F31)</f>
        <v/>
      </c>
    </row>
    <row r="32" spans="1:19">
      <c r="A32" s="1" t="str">
        <f>CarSoll!$A$13</f>
        <v/>
      </c>
      <c r="B32" s="9" t="str">
        <f>IF(A32="","",IF(H22="",0,IF(H22="x",VLOOKUP(A32,CarSoll!$A$11:$S$19,18,FALSE),VLOOKUP(A32,CarSoll!$A$26:$S$34,18,FALSE))))</f>
        <v/>
      </c>
      <c r="C32" s="7" t="str">
        <f>IF(A32="","",IF(B24="a spessore",0,B32*R22*IF(P24=0,0.3,1)))</f>
        <v/>
      </c>
      <c r="D32" s="7" t="str">
        <f>IF(A32="","",C32*(1-P26))</f>
        <v/>
      </c>
      <c r="E32" s="9" t="str">
        <f>IF(A32="","",H26)</f>
        <v/>
      </c>
      <c r="F32" s="7" t="str">
        <f>IF(A32="","",E32*(1-R26))</f>
        <v/>
      </c>
      <c r="G32" s="9" t="str">
        <f t="shared" si="4"/>
        <v/>
      </c>
      <c r="H32" s="7" t="str">
        <f t="shared" si="5"/>
        <v/>
      </c>
      <c r="I32" s="9" t="str">
        <f t="shared" si="6"/>
        <v/>
      </c>
      <c r="J32" s="7" t="str">
        <f t="shared" si="7"/>
        <v/>
      </c>
    </row>
    <row r="33" spans="1:19">
      <c r="A33" s="1">
        <f>CarSoll!$A$14</f>
        <v>5</v>
      </c>
      <c r="B33" s="9">
        <f>IF(A33="","",IF(H22="",0,IF(H22="x",VLOOKUP(A33,CarSoll!$A$11:$S$19,18,FALSE),VLOOKUP(A33,CarSoll!$A$26:$S$34,18,FALSE))))</f>
        <v>0</v>
      </c>
      <c r="C33" s="7">
        <f>IF(A33="","",IF(B24="a spessore",0,B33*R22*IF(P24=0,0.3,1)))</f>
        <v>0</v>
      </c>
      <c r="D33" s="7">
        <f>IF(A33="","",C33*(1-P26))</f>
        <v>0</v>
      </c>
      <c r="E33" s="9">
        <f>IF(A33="","",H26)</f>
        <v>0</v>
      </c>
      <c r="F33" s="7">
        <f>IF(A33="","",E33*(1-R26))</f>
        <v>0</v>
      </c>
      <c r="G33" s="9">
        <f t="shared" si="4"/>
        <v>0</v>
      </c>
      <c r="H33" s="7">
        <f t="shared" si="5"/>
        <v>0</v>
      </c>
      <c r="I33" s="9">
        <f t="shared" si="6"/>
        <v>0</v>
      </c>
      <c r="J33" s="7">
        <f t="shared" si="7"/>
        <v>0</v>
      </c>
    </row>
    <row r="34" spans="1:19">
      <c r="A34" s="1">
        <f>CarSoll!$A$15</f>
        <v>4</v>
      </c>
      <c r="B34" s="9">
        <f>IF(A34="","",IF(H22="",0,IF(H22="x",VLOOKUP(A34,CarSoll!$A$11:$S$19,18,FALSE),VLOOKUP(A34,CarSoll!$A$26:$S$34,18,FALSE))))</f>
        <v>0</v>
      </c>
      <c r="C34" s="7">
        <f>IF(A34="","",IF(B24="a spessore",0,B34*R22*IF(P24=0,0.3,1)))</f>
        <v>0</v>
      </c>
      <c r="D34" s="7">
        <f>IF(A34="","",C34*(1-P26))</f>
        <v>0</v>
      </c>
      <c r="E34" s="9">
        <f>IF(A34="","",H26)</f>
        <v>0</v>
      </c>
      <c r="F34" s="7">
        <f>IF(A34="","",E34*(1-R26))</f>
        <v>0</v>
      </c>
      <c r="G34" s="9">
        <f t="shared" si="4"/>
        <v>0</v>
      </c>
      <c r="H34" s="7">
        <f t="shared" si="5"/>
        <v>0</v>
      </c>
      <c r="I34" s="9">
        <f t="shared" si="6"/>
        <v>0</v>
      </c>
      <c r="J34" s="7">
        <f t="shared" si="7"/>
        <v>0</v>
      </c>
      <c r="L34" s="29" t="s">
        <v>152</v>
      </c>
    </row>
    <row r="35" spans="1:19">
      <c r="A35" s="1">
        <f>CarSoll!$A$16</f>
        <v>3</v>
      </c>
      <c r="B35" s="9">
        <f>IF(A35="","",IF(H22="",0,IF(H22="x",VLOOKUP(A35,CarSoll!$A$11:$S$19,18,FALSE),VLOOKUP(A35,CarSoll!$A$26:$S$34,18,FALSE))))</f>
        <v>0</v>
      </c>
      <c r="C35" s="7">
        <f>IF(A35="","",IF(B24="a spessore",0,B35*R22*IF(P24=0,0.3,1)))</f>
        <v>0</v>
      </c>
      <c r="D35" s="7">
        <f>IF(A35="","",C35*(1-P26))</f>
        <v>0</v>
      </c>
      <c r="E35" s="9">
        <f>IF(A35="","",H26)</f>
        <v>0</v>
      </c>
      <c r="F35" s="7">
        <f>IF(A35="","",E35*(1-R26))</f>
        <v>0</v>
      </c>
      <c r="G35" s="9">
        <f t="shared" si="4"/>
        <v>0</v>
      </c>
      <c r="H35" s="7">
        <f t="shared" si="5"/>
        <v>0</v>
      </c>
      <c r="I35" s="9">
        <f t="shared" si="6"/>
        <v>0</v>
      </c>
      <c r="J35" s="7">
        <f t="shared" si="7"/>
        <v>0</v>
      </c>
      <c r="L35" s="163"/>
      <c r="M35" s="163"/>
      <c r="N35" s="163"/>
      <c r="O35" s="163"/>
      <c r="P35" s="163"/>
      <c r="Q35" s="163"/>
      <c r="R35" s="163"/>
    </row>
    <row r="36" spans="1:19">
      <c r="A36" s="1">
        <f>CarSoll!$A$17</f>
        <v>2</v>
      </c>
      <c r="B36" s="9">
        <f>IF(A36="","",IF(H22="",0,IF(H22="x",VLOOKUP(A36,CarSoll!$A$11:$S$19,18,FALSE),VLOOKUP(A36,CarSoll!$A$26:$S$34,18,FALSE))))</f>
        <v>0</v>
      </c>
      <c r="C36" s="7">
        <f>IF(A36="","",IF(B24="a spessore",0,B36*R22*IF(P24=0,0.3,1)))</f>
        <v>0</v>
      </c>
      <c r="D36" s="7">
        <f>IF(A36="","",C36*(1-P26))</f>
        <v>0</v>
      </c>
      <c r="E36" s="9">
        <f>IF(A36="","",H26)</f>
        <v>0</v>
      </c>
      <c r="F36" s="7">
        <f>IF(A36="","",E36*(1-R26))</f>
        <v>0</v>
      </c>
      <c r="G36" s="9">
        <f t="shared" si="4"/>
        <v>0</v>
      </c>
      <c r="H36" s="7">
        <f t="shared" si="5"/>
        <v>0</v>
      </c>
      <c r="I36" s="9">
        <f t="shared" si="6"/>
        <v>0</v>
      </c>
      <c r="J36" s="7">
        <f t="shared" si="7"/>
        <v>0</v>
      </c>
      <c r="L36" s="163"/>
      <c r="M36" s="163"/>
      <c r="N36" s="163"/>
      <c r="O36" s="163"/>
      <c r="P36" s="163"/>
      <c r="Q36" s="163"/>
      <c r="R36" s="163"/>
    </row>
    <row r="37" spans="1:19">
      <c r="A37" s="1">
        <f>CarSoll!$A$18</f>
        <v>1</v>
      </c>
      <c r="B37" s="9">
        <f>IF(A37="","",IF(H22="",0,IF(H22="x",VLOOKUP(A37,CarSoll!$A$11:$S$19,18,FALSE),VLOOKUP(A37,CarSoll!$A$26:$S$34,18,FALSE))))</f>
        <v>0</v>
      </c>
      <c r="C37" s="7">
        <f>IF(A37="","",IF(B24="a spessore",0,B37*R22*IF(P24=0,0.3,1)))</f>
        <v>0</v>
      </c>
      <c r="D37" s="7">
        <f>IF(A37="","",C37*(1-P26))</f>
        <v>0</v>
      </c>
      <c r="E37" s="9">
        <f>IF(A37="","",H26)</f>
        <v>0</v>
      </c>
      <c r="F37" s="7">
        <f>IF(A37="","",E37*(1-R26))</f>
        <v>0</v>
      </c>
      <c r="G37" s="9">
        <f t="shared" si="4"/>
        <v>0</v>
      </c>
      <c r="H37" s="7">
        <f t="shared" si="5"/>
        <v>0</v>
      </c>
      <c r="I37" s="9">
        <f t="shared" si="6"/>
        <v>0</v>
      </c>
      <c r="J37" s="7">
        <f t="shared" si="7"/>
        <v>0</v>
      </c>
      <c r="L37" s="163"/>
      <c r="M37" s="163"/>
      <c r="N37" s="163"/>
      <c r="O37" s="163"/>
      <c r="P37" s="163"/>
      <c r="Q37" s="163"/>
      <c r="R37" s="163"/>
    </row>
    <row r="38" spans="1:19">
      <c r="B38" s="6"/>
      <c r="E38" s="9" t="str">
        <f>IF(A38="","",#REF!)</f>
        <v/>
      </c>
      <c r="F38" s="7" t="str">
        <f>IF(A38="","",E38*(1-#REF!))</f>
        <v/>
      </c>
      <c r="G38" s="6"/>
      <c r="I38" s="6"/>
    </row>
    <row r="39" spans="1:19" ht="13.15">
      <c r="G39" s="18" t="s">
        <v>117</v>
      </c>
      <c r="H39" s="19" t="s">
        <v>133</v>
      </c>
    </row>
    <row r="40" spans="1:19">
      <c r="A40" s="20"/>
      <c r="B40" s="20"/>
      <c r="C40" s="20"/>
      <c r="D40" s="20"/>
      <c r="E40" s="20"/>
      <c r="F40" s="20"/>
      <c r="G40" s="21"/>
      <c r="H40" s="22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</row>
    <row r="42" spans="1:19" ht="13.15">
      <c r="A42" s="2" t="s">
        <v>104</v>
      </c>
      <c r="B42" s="14"/>
      <c r="G42" s="4" t="s">
        <v>105</v>
      </c>
      <c r="H42" s="27"/>
      <c r="K42" s="4" t="s">
        <v>106</v>
      </c>
      <c r="L42" s="164"/>
      <c r="M42" s="164"/>
      <c r="N42" s="164"/>
      <c r="O42" s="165"/>
      <c r="Q42" s="4" t="s">
        <v>108</v>
      </c>
      <c r="R42" s="5"/>
    </row>
    <row r="43" spans="1:19">
      <c r="R43" s="10" t="str">
        <f>IF(OR(AND(L42="molto vicino al baricentro",R42&gt;1.05),AND(L42="distanza intermedia dal baricentro",OR(R42&lt;1.05,R42&gt;1.15)),AND(L42="molto distante dal baricentro",R42&lt;1.15)),"sei sicuro?","")</f>
        <v/>
      </c>
    </row>
    <row r="44" spans="1:19">
      <c r="A44" s="4" t="s">
        <v>109</v>
      </c>
      <c r="B44" s="164"/>
      <c r="C44" s="165"/>
      <c r="F44" s="4" t="s">
        <v>110</v>
      </c>
      <c r="G44" s="164"/>
      <c r="H44" s="165"/>
      <c r="L44" s="4" t="s">
        <v>107</v>
      </c>
      <c r="M44" s="164"/>
      <c r="N44" s="165"/>
      <c r="O44" s="165"/>
      <c r="P44" s="28" t="str">
        <f>IF(M44="","",IF(M44="due pilastri di coltello",2,IF(M44="un pilastro di coltello",1,0)))</f>
        <v/>
      </c>
    </row>
    <row r="45" spans="1:19">
      <c r="A45" s="10" t="str">
        <f>IF(B44="a spessore","momento da  sisma trascurabile","")</f>
        <v/>
      </c>
      <c r="B45" s="17"/>
      <c r="D45" s="10" t="str">
        <f>IF(A45&lt;&gt;"","",IF(AND(G44="più corta delle altre",P44&gt;0),"il momento da sisma può essere maggiore delle previsioni",IF(AND(G44="più lunga delle altre",P44&gt;0),"il momento da sisma è probabilmente minore delle previsioni", "")))</f>
        <v/>
      </c>
      <c r="M45" s="10" t="str">
        <f>IF(P44=0,"il momento da sisma è meno rilevante","")</f>
        <v/>
      </c>
    </row>
    <row r="46" spans="1:19">
      <c r="F46" s="4" t="s">
        <v>112</v>
      </c>
      <c r="G46" s="1" t="s">
        <v>125</v>
      </c>
      <c r="H46" s="12"/>
      <c r="I46" s="3" t="s">
        <v>111</v>
      </c>
      <c r="N46" s="4" t="s">
        <v>113</v>
      </c>
      <c r="O46" s="1" t="s">
        <v>121</v>
      </c>
      <c r="P46" s="13"/>
      <c r="Q46" s="1" t="s">
        <v>122</v>
      </c>
      <c r="R46" s="13"/>
    </row>
    <row r="48" spans="1:19" ht="14.25">
      <c r="A48" s="1" t="s">
        <v>50</v>
      </c>
      <c r="B48" s="166" t="s">
        <v>126</v>
      </c>
      <c r="C48" s="167"/>
      <c r="D48" s="167"/>
      <c r="E48" s="166" t="s">
        <v>127</v>
      </c>
      <c r="F48" s="168"/>
      <c r="G48" s="166" t="s">
        <v>123</v>
      </c>
      <c r="H48" s="168"/>
      <c r="I48" s="166" t="s">
        <v>124</v>
      </c>
      <c r="J48" s="168"/>
    </row>
    <row r="49" spans="1:19">
      <c r="B49" s="8" t="s">
        <v>114</v>
      </c>
      <c r="C49" s="1" t="s">
        <v>115</v>
      </c>
      <c r="D49" s="1" t="s">
        <v>116</v>
      </c>
      <c r="E49" s="8" t="s">
        <v>115</v>
      </c>
      <c r="F49" s="1" t="s">
        <v>116</v>
      </c>
      <c r="G49" s="8" t="s">
        <v>115</v>
      </c>
      <c r="H49" s="1" t="s">
        <v>116</v>
      </c>
      <c r="I49" s="8" t="s">
        <v>115</v>
      </c>
      <c r="J49" s="1" t="s">
        <v>116</v>
      </c>
    </row>
    <row r="50" spans="1:19">
      <c r="A50" s="1" t="str">
        <f>CarSoll!$A$11</f>
        <v/>
      </c>
      <c r="B50" s="9" t="str">
        <f>IF(A50="","",IF(H42="",0,IF(H42="x",VLOOKUP(A50,CarSoll!$A$11:$S$19,18,FALSE),VLOOKUP(A50,CarSoll!$A$26:$S$34,18,FALSE))))</f>
        <v/>
      </c>
      <c r="C50" s="7" t="str">
        <f>IF(A50="","",IF(B44="a spessore",0,B50*R42*IF(P44=0,0.3,1)))</f>
        <v/>
      </c>
      <c r="D50" s="7" t="str">
        <f>IF(A50="","",C50*(1-P46))</f>
        <v/>
      </c>
      <c r="E50" s="9" t="str">
        <f>IF(A50="","",H46)</f>
        <v/>
      </c>
      <c r="F50" s="7" t="str">
        <f>IF(A50="","",E50*(1-R46))</f>
        <v/>
      </c>
      <c r="G50" s="9" t="str">
        <f>IF(A50="","",-C50-E50)</f>
        <v/>
      </c>
      <c r="H50" s="7" t="str">
        <f>IF(B50="","",-D50-F50)</f>
        <v/>
      </c>
      <c r="I50" s="9" t="str">
        <f>IF(A50="","",C50-E50)</f>
        <v/>
      </c>
      <c r="J50" s="7" t="str">
        <f>IF(B50="","",D50-F50)</f>
        <v/>
      </c>
    </row>
    <row r="51" spans="1:19">
      <c r="A51" s="1" t="str">
        <f>CarSoll!$A$12</f>
        <v/>
      </c>
      <c r="B51" s="9" t="str">
        <f>IF(A51="","",IF(H42="",0,IF(H42="x",VLOOKUP(A51,CarSoll!$A$11:$S$19,18,FALSE),VLOOKUP(A51,CarSoll!$A$26:$S$34,18,FALSE))))</f>
        <v/>
      </c>
      <c r="C51" s="7" t="str">
        <f>IF(A51="","",IF(B44="a spessore",0,B51*R42*IF(P44=0,0.3,1)))</f>
        <v/>
      </c>
      <c r="D51" s="7" t="str">
        <f>IF(A51="","",C51*(1-P46))</f>
        <v/>
      </c>
      <c r="E51" s="9" t="str">
        <f>IF(A51="","",H46)</f>
        <v/>
      </c>
      <c r="F51" s="7" t="str">
        <f>IF(A51="","",E51*(1-R46))</f>
        <v/>
      </c>
      <c r="G51" s="9" t="str">
        <f t="shared" ref="G51:G57" si="8">IF(A51="","",-C51-E51)</f>
        <v/>
      </c>
      <c r="H51" s="7" t="str">
        <f t="shared" ref="H51:H57" si="9">IF(B51="","",-D51-F51)</f>
        <v/>
      </c>
      <c r="I51" s="9" t="str">
        <f t="shared" ref="I51:I57" si="10">IF(A51="","",C51-E51)</f>
        <v/>
      </c>
      <c r="J51" s="7" t="str">
        <f t="shared" ref="J51:J57" si="11">IF(B51="","",D51-F51)</f>
        <v/>
      </c>
    </row>
    <row r="52" spans="1:19">
      <c r="A52" s="1" t="str">
        <f>CarSoll!$A$13</f>
        <v/>
      </c>
      <c r="B52" s="9" t="str">
        <f>IF(A52="","",IF(H42="",0,IF(H42="x",VLOOKUP(A52,CarSoll!$A$11:$S$19,18,FALSE),VLOOKUP(A52,CarSoll!$A$26:$S$34,18,FALSE))))</f>
        <v/>
      </c>
      <c r="C52" s="7" t="str">
        <f>IF(A52="","",IF(B44="a spessore",0,B52*R42*IF(P44=0,0.3,1)))</f>
        <v/>
      </c>
      <c r="D52" s="7" t="str">
        <f>IF(A52="","",C52*(1-P46))</f>
        <v/>
      </c>
      <c r="E52" s="9" t="str">
        <f>IF(A52="","",H46)</f>
        <v/>
      </c>
      <c r="F52" s="7" t="str">
        <f>IF(A52="","",E52*(1-R46))</f>
        <v/>
      </c>
      <c r="G52" s="9" t="str">
        <f t="shared" si="8"/>
        <v/>
      </c>
      <c r="H52" s="7" t="str">
        <f t="shared" si="9"/>
        <v/>
      </c>
      <c r="I52" s="9" t="str">
        <f t="shared" si="10"/>
        <v/>
      </c>
      <c r="J52" s="7" t="str">
        <f t="shared" si="11"/>
        <v/>
      </c>
    </row>
    <row r="53" spans="1:19">
      <c r="A53" s="1">
        <f>CarSoll!$A$14</f>
        <v>5</v>
      </c>
      <c r="B53" s="9">
        <f>IF(A53="","",IF(H42="",0,IF(H42="x",VLOOKUP(A53,CarSoll!$A$11:$S$19,18,FALSE),VLOOKUP(A53,CarSoll!$A$26:$S$34,18,FALSE))))</f>
        <v>0</v>
      </c>
      <c r="C53" s="7">
        <f>IF(A53="","",IF(B44="a spessore",0,B53*R42*IF(P44=0,0.3,1)))</f>
        <v>0</v>
      </c>
      <c r="D53" s="7">
        <f>IF(A53="","",C53*(1-P46))</f>
        <v>0</v>
      </c>
      <c r="E53" s="9">
        <f>IF(A53="","",H46)</f>
        <v>0</v>
      </c>
      <c r="F53" s="7">
        <f>IF(A53="","",E53*(1-R46))</f>
        <v>0</v>
      </c>
      <c r="G53" s="9">
        <f t="shared" si="8"/>
        <v>0</v>
      </c>
      <c r="H53" s="7">
        <f t="shared" si="9"/>
        <v>0</v>
      </c>
      <c r="I53" s="9">
        <f t="shared" si="10"/>
        <v>0</v>
      </c>
      <c r="J53" s="7">
        <f t="shared" si="11"/>
        <v>0</v>
      </c>
    </row>
    <row r="54" spans="1:19">
      <c r="A54" s="1">
        <f>CarSoll!$A$15</f>
        <v>4</v>
      </c>
      <c r="B54" s="9">
        <f>IF(A54="","",IF(H42="",0,IF(H42="x",VLOOKUP(A54,CarSoll!$A$11:$S$19,18,FALSE),VLOOKUP(A54,CarSoll!$A$26:$S$34,18,FALSE))))</f>
        <v>0</v>
      </c>
      <c r="C54" s="7">
        <f>IF(A54="","",IF(B44="a spessore",0,B54*R42*IF(P44=0,0.3,1)))</f>
        <v>0</v>
      </c>
      <c r="D54" s="7">
        <f>IF(A54="","",C54*(1-P46))</f>
        <v>0</v>
      </c>
      <c r="E54" s="9">
        <f>IF(A54="","",H46)</f>
        <v>0</v>
      </c>
      <c r="F54" s="7">
        <f>IF(A54="","",E54*(1-R46))</f>
        <v>0</v>
      </c>
      <c r="G54" s="9">
        <f t="shared" si="8"/>
        <v>0</v>
      </c>
      <c r="H54" s="7">
        <f t="shared" si="9"/>
        <v>0</v>
      </c>
      <c r="I54" s="9">
        <f t="shared" si="10"/>
        <v>0</v>
      </c>
      <c r="J54" s="7">
        <f t="shared" si="11"/>
        <v>0</v>
      </c>
      <c r="L54" s="29" t="s">
        <v>152</v>
      </c>
    </row>
    <row r="55" spans="1:19">
      <c r="A55" s="1">
        <f>CarSoll!$A$16</f>
        <v>3</v>
      </c>
      <c r="B55" s="9">
        <f>IF(A55="","",IF(H42="",0,IF(H42="x",VLOOKUP(A55,CarSoll!$A$11:$S$19,18,FALSE),VLOOKUP(A55,CarSoll!$A$26:$S$34,18,FALSE))))</f>
        <v>0</v>
      </c>
      <c r="C55" s="7">
        <f>IF(A55="","",IF(B44="a spessore",0,B55*R42*IF(P44=0,0.3,1)))</f>
        <v>0</v>
      </c>
      <c r="D55" s="7">
        <f>IF(A55="","",C55*(1-P46))</f>
        <v>0</v>
      </c>
      <c r="E55" s="9">
        <f>IF(A55="","",H46)</f>
        <v>0</v>
      </c>
      <c r="F55" s="7">
        <f>IF(A55="","",E55*(1-R46))</f>
        <v>0</v>
      </c>
      <c r="G55" s="9">
        <f t="shared" si="8"/>
        <v>0</v>
      </c>
      <c r="H55" s="7">
        <f t="shared" si="9"/>
        <v>0</v>
      </c>
      <c r="I55" s="9">
        <f t="shared" si="10"/>
        <v>0</v>
      </c>
      <c r="J55" s="7">
        <f t="shared" si="11"/>
        <v>0</v>
      </c>
      <c r="L55" s="163"/>
      <c r="M55" s="163"/>
      <c r="N55" s="163"/>
      <c r="O55" s="163"/>
      <c r="P55" s="163"/>
      <c r="Q55" s="163"/>
      <c r="R55" s="163"/>
    </row>
    <row r="56" spans="1:19">
      <c r="A56" s="1">
        <f>CarSoll!$A$17</f>
        <v>2</v>
      </c>
      <c r="B56" s="9">
        <f>IF(A56="","",IF(H42="",0,IF(H42="x",VLOOKUP(A56,CarSoll!$A$11:$S$19,18,FALSE),VLOOKUP(A56,CarSoll!$A$26:$S$34,18,FALSE))))</f>
        <v>0</v>
      </c>
      <c r="C56" s="7">
        <f>IF(A56="","",IF(B44="a spessore",0,B56*R42*IF(P44=0,0.3,1)))</f>
        <v>0</v>
      </c>
      <c r="D56" s="7">
        <f>IF(A56="","",C56*(1-P46))</f>
        <v>0</v>
      </c>
      <c r="E56" s="9">
        <f>IF(A56="","",H46)</f>
        <v>0</v>
      </c>
      <c r="F56" s="7">
        <f>IF(A56="","",E56*(1-R46))</f>
        <v>0</v>
      </c>
      <c r="G56" s="9">
        <f t="shared" si="8"/>
        <v>0</v>
      </c>
      <c r="H56" s="7">
        <f t="shared" si="9"/>
        <v>0</v>
      </c>
      <c r="I56" s="9">
        <f t="shared" si="10"/>
        <v>0</v>
      </c>
      <c r="J56" s="7">
        <f t="shared" si="11"/>
        <v>0</v>
      </c>
      <c r="L56" s="163"/>
      <c r="M56" s="163"/>
      <c r="N56" s="163"/>
      <c r="O56" s="163"/>
      <c r="P56" s="163"/>
      <c r="Q56" s="163"/>
      <c r="R56" s="163"/>
    </row>
    <row r="57" spans="1:19">
      <c r="A57" s="1">
        <f>CarSoll!$A$18</f>
        <v>1</v>
      </c>
      <c r="B57" s="9">
        <f>IF(A57="","",IF(H42="",0,IF(H42="x",VLOOKUP(A57,CarSoll!$A$11:$S$19,18,FALSE),VLOOKUP(A57,CarSoll!$A$26:$S$34,18,FALSE))))</f>
        <v>0</v>
      </c>
      <c r="C57" s="7">
        <f>IF(A57="","",IF(B44="a spessore",0,B57*R42*IF(P44=0,0.3,1)))</f>
        <v>0</v>
      </c>
      <c r="D57" s="7">
        <f>IF(A57="","",C57*(1-P46))</f>
        <v>0</v>
      </c>
      <c r="E57" s="9">
        <f>IF(A57="","",H46)</f>
        <v>0</v>
      </c>
      <c r="F57" s="7">
        <f>IF(A57="","",E57*(1-R46))</f>
        <v>0</v>
      </c>
      <c r="G57" s="9">
        <f t="shared" si="8"/>
        <v>0</v>
      </c>
      <c r="H57" s="7">
        <f t="shared" si="9"/>
        <v>0</v>
      </c>
      <c r="I57" s="9">
        <f t="shared" si="10"/>
        <v>0</v>
      </c>
      <c r="J57" s="7">
        <f t="shared" si="11"/>
        <v>0</v>
      </c>
      <c r="L57" s="163"/>
      <c r="M57" s="163"/>
      <c r="N57" s="163"/>
      <c r="O57" s="163"/>
      <c r="P57" s="163"/>
      <c r="Q57" s="163"/>
      <c r="R57" s="163"/>
    </row>
    <row r="58" spans="1:19">
      <c r="B58" s="6"/>
      <c r="E58" s="9" t="str">
        <f>IF(A58="","",#REF!)</f>
        <v/>
      </c>
      <c r="F58" s="7" t="str">
        <f>IF(A58="","",E58*(1-#REF!))</f>
        <v/>
      </c>
      <c r="G58" s="6"/>
      <c r="I58" s="6"/>
    </row>
    <row r="59" spans="1:19" ht="13.15">
      <c r="G59" s="18" t="s">
        <v>117</v>
      </c>
      <c r="H59" s="19" t="s">
        <v>133</v>
      </c>
    </row>
    <row r="60" spans="1:19">
      <c r="A60" s="20"/>
      <c r="B60" s="20"/>
      <c r="C60" s="20"/>
      <c r="D60" s="20"/>
      <c r="E60" s="20"/>
      <c r="F60" s="20"/>
      <c r="G60" s="21"/>
      <c r="H60" s="22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</row>
    <row r="62" spans="1:19" ht="13.15">
      <c r="A62" s="2" t="s">
        <v>104</v>
      </c>
      <c r="B62" s="14"/>
      <c r="G62" s="4" t="s">
        <v>105</v>
      </c>
      <c r="H62" s="27"/>
      <c r="K62" s="4" t="s">
        <v>106</v>
      </c>
      <c r="L62" s="164"/>
      <c r="M62" s="164"/>
      <c r="N62" s="164"/>
      <c r="O62" s="165"/>
      <c r="Q62" s="4" t="s">
        <v>108</v>
      </c>
      <c r="R62" s="5"/>
    </row>
    <row r="63" spans="1:19">
      <c r="R63" s="10" t="str">
        <f>IF(OR(AND(L62="molto vicino al baricentro",R62&gt;1.05),AND(L62="distanza intermedia dal baricentro",OR(R62&lt;1.05,R62&gt;1.15)),AND(L62="molto distante dal baricentro",R62&lt;1.15)),"sei sicuro?","")</f>
        <v/>
      </c>
    </row>
    <row r="64" spans="1:19">
      <c r="A64" s="4" t="s">
        <v>109</v>
      </c>
      <c r="B64" s="164"/>
      <c r="C64" s="165"/>
      <c r="F64" s="4" t="s">
        <v>110</v>
      </c>
      <c r="G64" s="164"/>
      <c r="H64" s="165"/>
      <c r="L64" s="4" t="s">
        <v>107</v>
      </c>
      <c r="M64" s="164"/>
      <c r="N64" s="165"/>
      <c r="O64" s="165"/>
      <c r="P64" s="28" t="str">
        <f>IF(M64="","",IF(M64="due pilastri di coltello",2,IF(M64="un pilastro di coltello",1,0)))</f>
        <v/>
      </c>
    </row>
    <row r="65" spans="1:19">
      <c r="A65" s="10" t="str">
        <f>IF(B64="a spessore","momento da  sisma trascurabile","")</f>
        <v/>
      </c>
      <c r="B65" s="17"/>
      <c r="D65" s="10" t="str">
        <f>IF(A65&lt;&gt;"","",IF(AND(G64="più corta delle altre",P64&gt;0),"il momento da sisma può essere maggiore delle previsioni",IF(AND(G64="più lunga delle altre",P64&gt;0),"il momento da sisma è probabilmente minore delle previsioni", "")))</f>
        <v/>
      </c>
      <c r="M65" s="10" t="str">
        <f>IF(P64=0,"il momento da sisma è meno rilevante","")</f>
        <v/>
      </c>
    </row>
    <row r="66" spans="1:19">
      <c r="F66" s="4" t="s">
        <v>112</v>
      </c>
      <c r="G66" s="1" t="s">
        <v>125</v>
      </c>
      <c r="H66" s="12"/>
      <c r="I66" s="3" t="s">
        <v>111</v>
      </c>
      <c r="N66" s="4" t="s">
        <v>113</v>
      </c>
      <c r="O66" s="1" t="s">
        <v>121</v>
      </c>
      <c r="P66" s="13"/>
      <c r="Q66" s="1" t="s">
        <v>122</v>
      </c>
      <c r="R66" s="13"/>
    </row>
    <row r="68" spans="1:19" ht="14.25">
      <c r="A68" s="1" t="s">
        <v>50</v>
      </c>
      <c r="B68" s="166" t="s">
        <v>126</v>
      </c>
      <c r="C68" s="167"/>
      <c r="D68" s="167"/>
      <c r="E68" s="166" t="s">
        <v>127</v>
      </c>
      <c r="F68" s="168"/>
      <c r="G68" s="166" t="s">
        <v>123</v>
      </c>
      <c r="H68" s="168"/>
      <c r="I68" s="166" t="s">
        <v>124</v>
      </c>
      <c r="J68" s="168"/>
    </row>
    <row r="69" spans="1:19">
      <c r="B69" s="8" t="s">
        <v>114</v>
      </c>
      <c r="C69" s="1" t="s">
        <v>115</v>
      </c>
      <c r="D69" s="1" t="s">
        <v>116</v>
      </c>
      <c r="E69" s="8" t="s">
        <v>115</v>
      </c>
      <c r="F69" s="1" t="s">
        <v>116</v>
      </c>
      <c r="G69" s="8" t="s">
        <v>115</v>
      </c>
      <c r="H69" s="1" t="s">
        <v>116</v>
      </c>
      <c r="I69" s="8" t="s">
        <v>115</v>
      </c>
      <c r="J69" s="1" t="s">
        <v>116</v>
      </c>
    </row>
    <row r="70" spans="1:19">
      <c r="A70" s="1" t="str">
        <f>CarSoll!$A$11</f>
        <v/>
      </c>
      <c r="B70" s="9" t="str">
        <f>IF(A70="","",IF(H62="",0,IF(H62="x",VLOOKUP(A70,CarSoll!$A$11:$S$19,18,FALSE),VLOOKUP(A70,CarSoll!$A$26:$S$34,18,FALSE))))</f>
        <v/>
      </c>
      <c r="C70" s="7" t="str">
        <f>IF(A70="","",IF(B64="a spessore",0,B70*R62*IF(P64=0,0.3,1)))</f>
        <v/>
      </c>
      <c r="D70" s="7" t="str">
        <f>IF(A70="","",C70*(1-P66))</f>
        <v/>
      </c>
      <c r="E70" s="9" t="str">
        <f>IF(A70="","",H66)</f>
        <v/>
      </c>
      <c r="F70" s="7" t="str">
        <f>IF(A70="","",E70*(1-R66))</f>
        <v/>
      </c>
      <c r="G70" s="9" t="str">
        <f>IF(A70="","",-C70-E70)</f>
        <v/>
      </c>
      <c r="H70" s="7" t="str">
        <f>IF(B70="","",-D70-F70)</f>
        <v/>
      </c>
      <c r="I70" s="9" t="str">
        <f>IF(A70="","",C70-E70)</f>
        <v/>
      </c>
      <c r="J70" s="7" t="str">
        <f>IF(B70="","",D70-F70)</f>
        <v/>
      </c>
    </row>
    <row r="71" spans="1:19">
      <c r="A71" s="1" t="str">
        <f>CarSoll!$A$12</f>
        <v/>
      </c>
      <c r="B71" s="9" t="str">
        <f>IF(A71="","",IF(H62="",0,IF(H62="x",VLOOKUP(A71,CarSoll!$A$11:$S$19,18,FALSE),VLOOKUP(A71,CarSoll!$A$26:$S$34,18,FALSE))))</f>
        <v/>
      </c>
      <c r="C71" s="7" t="str">
        <f>IF(A71="","",IF(B64="a spessore",0,B71*R62*IF(P64=0,0.3,1)))</f>
        <v/>
      </c>
      <c r="D71" s="7" t="str">
        <f>IF(A71="","",C71*(1-P66))</f>
        <v/>
      </c>
      <c r="E71" s="9" t="str">
        <f>IF(A71="","",H66)</f>
        <v/>
      </c>
      <c r="F71" s="7" t="str">
        <f>IF(A71="","",E71*(1-R66))</f>
        <v/>
      </c>
      <c r="G71" s="9" t="str">
        <f t="shared" ref="G71:G77" si="12">IF(A71="","",-C71-E71)</f>
        <v/>
      </c>
      <c r="H71" s="7" t="str">
        <f t="shared" ref="H71:H77" si="13">IF(B71="","",-D71-F71)</f>
        <v/>
      </c>
      <c r="I71" s="9" t="str">
        <f t="shared" ref="I71:I77" si="14">IF(A71="","",C71-E71)</f>
        <v/>
      </c>
      <c r="J71" s="7" t="str">
        <f t="shared" ref="J71:J77" si="15">IF(B71="","",D71-F71)</f>
        <v/>
      </c>
    </row>
    <row r="72" spans="1:19">
      <c r="A72" s="1" t="str">
        <f>CarSoll!$A$13</f>
        <v/>
      </c>
      <c r="B72" s="9" t="str">
        <f>IF(A72="","",IF(H62="",0,IF(H62="x",VLOOKUP(A72,CarSoll!$A$11:$S$19,18,FALSE),VLOOKUP(A72,CarSoll!$A$26:$S$34,18,FALSE))))</f>
        <v/>
      </c>
      <c r="C72" s="7" t="str">
        <f>IF(A72="","",IF(B64="a spessore",0,B72*R62*IF(P64=0,0.3,1)))</f>
        <v/>
      </c>
      <c r="D72" s="7" t="str">
        <f>IF(A72="","",C72*(1-P66))</f>
        <v/>
      </c>
      <c r="E72" s="9" t="str">
        <f>IF(A72="","",H66)</f>
        <v/>
      </c>
      <c r="F72" s="7" t="str">
        <f>IF(A72="","",E72*(1-R66))</f>
        <v/>
      </c>
      <c r="G72" s="9" t="str">
        <f t="shared" si="12"/>
        <v/>
      </c>
      <c r="H72" s="7" t="str">
        <f t="shared" si="13"/>
        <v/>
      </c>
      <c r="I72" s="9" t="str">
        <f t="shared" si="14"/>
        <v/>
      </c>
      <c r="J72" s="7" t="str">
        <f t="shared" si="15"/>
        <v/>
      </c>
    </row>
    <row r="73" spans="1:19">
      <c r="A73" s="1">
        <f>CarSoll!$A$14</f>
        <v>5</v>
      </c>
      <c r="B73" s="9">
        <f>IF(A73="","",IF(H62="",0,IF(H62="x",VLOOKUP(A73,CarSoll!$A$11:$S$19,18,FALSE),VLOOKUP(A73,CarSoll!$A$26:$S$34,18,FALSE))))</f>
        <v>0</v>
      </c>
      <c r="C73" s="7">
        <f>IF(A73="","",IF(B64="a spessore",0,B73*R62*IF(P64=0,0.3,1)))</f>
        <v>0</v>
      </c>
      <c r="D73" s="7">
        <f>IF(A73="","",C73*(1-P66))</f>
        <v>0</v>
      </c>
      <c r="E73" s="9">
        <f>IF(A73="","",H66)</f>
        <v>0</v>
      </c>
      <c r="F73" s="7">
        <f>IF(A73="","",E73*(1-R66))</f>
        <v>0</v>
      </c>
      <c r="G73" s="9">
        <f t="shared" si="12"/>
        <v>0</v>
      </c>
      <c r="H73" s="7">
        <f t="shared" si="13"/>
        <v>0</v>
      </c>
      <c r="I73" s="9">
        <f t="shared" si="14"/>
        <v>0</v>
      </c>
      <c r="J73" s="7">
        <f t="shared" si="15"/>
        <v>0</v>
      </c>
    </row>
    <row r="74" spans="1:19">
      <c r="A74" s="1">
        <f>CarSoll!$A$15</f>
        <v>4</v>
      </c>
      <c r="B74" s="9">
        <f>IF(A74="","",IF(H62="",0,IF(H62="x",VLOOKUP(A74,CarSoll!$A$11:$S$19,18,FALSE),VLOOKUP(A74,CarSoll!$A$26:$S$34,18,FALSE))))</f>
        <v>0</v>
      </c>
      <c r="C74" s="7">
        <f>IF(A74="","",IF(B64="a spessore",0,B74*R62*IF(P64=0,0.3,1)))</f>
        <v>0</v>
      </c>
      <c r="D74" s="7">
        <f>IF(A74="","",C74*(1-P66))</f>
        <v>0</v>
      </c>
      <c r="E74" s="9">
        <f>IF(A74="","",H66)</f>
        <v>0</v>
      </c>
      <c r="F74" s="7">
        <f>IF(A74="","",E74*(1-R66))</f>
        <v>0</v>
      </c>
      <c r="G74" s="9">
        <f t="shared" si="12"/>
        <v>0</v>
      </c>
      <c r="H74" s="7">
        <f t="shared" si="13"/>
        <v>0</v>
      </c>
      <c r="I74" s="9">
        <f t="shared" si="14"/>
        <v>0</v>
      </c>
      <c r="J74" s="7">
        <f t="shared" si="15"/>
        <v>0</v>
      </c>
      <c r="L74" s="29" t="s">
        <v>152</v>
      </c>
    </row>
    <row r="75" spans="1:19">
      <c r="A75" s="1">
        <f>CarSoll!$A$16</f>
        <v>3</v>
      </c>
      <c r="B75" s="9">
        <f>IF(A75="","",IF(H62="",0,IF(H62="x",VLOOKUP(A75,CarSoll!$A$11:$S$19,18,FALSE),VLOOKUP(A75,CarSoll!$A$26:$S$34,18,FALSE))))</f>
        <v>0</v>
      </c>
      <c r="C75" s="7">
        <f>IF(A75="","",IF(B64="a spessore",0,B75*R62*IF(P64=0,0.3,1)))</f>
        <v>0</v>
      </c>
      <c r="D75" s="7">
        <f>IF(A75="","",C75*(1-P66))</f>
        <v>0</v>
      </c>
      <c r="E75" s="9">
        <f>IF(A75="","",H66)</f>
        <v>0</v>
      </c>
      <c r="F75" s="7">
        <f>IF(A75="","",E75*(1-R66))</f>
        <v>0</v>
      </c>
      <c r="G75" s="9">
        <f t="shared" si="12"/>
        <v>0</v>
      </c>
      <c r="H75" s="7">
        <f t="shared" si="13"/>
        <v>0</v>
      </c>
      <c r="I75" s="9">
        <f t="shared" si="14"/>
        <v>0</v>
      </c>
      <c r="J75" s="7">
        <f t="shared" si="15"/>
        <v>0</v>
      </c>
      <c r="L75" s="163"/>
      <c r="M75" s="163"/>
      <c r="N75" s="163"/>
      <c r="O75" s="163"/>
      <c r="P75" s="163"/>
      <c r="Q75" s="163"/>
      <c r="R75" s="163"/>
    </row>
    <row r="76" spans="1:19">
      <c r="A76" s="1">
        <f>CarSoll!$A$17</f>
        <v>2</v>
      </c>
      <c r="B76" s="9">
        <f>IF(A76="","",IF(H62="",0,IF(H62="x",VLOOKUP(A76,CarSoll!$A$11:$S$19,18,FALSE),VLOOKUP(A76,CarSoll!$A$26:$S$34,18,FALSE))))</f>
        <v>0</v>
      </c>
      <c r="C76" s="7">
        <f>IF(A76="","",IF(B64="a spessore",0,B76*R62*IF(P64=0,0.3,1)))</f>
        <v>0</v>
      </c>
      <c r="D76" s="7">
        <f>IF(A76="","",C76*(1-P66))</f>
        <v>0</v>
      </c>
      <c r="E76" s="9">
        <f>IF(A76="","",H66)</f>
        <v>0</v>
      </c>
      <c r="F76" s="7">
        <f>IF(A76="","",E76*(1-R66))</f>
        <v>0</v>
      </c>
      <c r="G76" s="9">
        <f t="shared" si="12"/>
        <v>0</v>
      </c>
      <c r="H76" s="7">
        <f t="shared" si="13"/>
        <v>0</v>
      </c>
      <c r="I76" s="9">
        <f t="shared" si="14"/>
        <v>0</v>
      </c>
      <c r="J76" s="7">
        <f t="shared" si="15"/>
        <v>0</v>
      </c>
      <c r="L76" s="163"/>
      <c r="M76" s="163"/>
      <c r="N76" s="163"/>
      <c r="O76" s="163"/>
      <c r="P76" s="163"/>
      <c r="Q76" s="163"/>
      <c r="R76" s="163"/>
    </row>
    <row r="77" spans="1:19">
      <c r="A77" s="1">
        <f>CarSoll!$A$18</f>
        <v>1</v>
      </c>
      <c r="B77" s="9">
        <f>IF(A77="","",IF(H62="",0,IF(H62="x",VLOOKUP(A77,CarSoll!$A$11:$S$19,18,FALSE),VLOOKUP(A77,CarSoll!$A$26:$S$34,18,FALSE))))</f>
        <v>0</v>
      </c>
      <c r="C77" s="7">
        <f>IF(A77="","",IF(B64="a spessore",0,B77*R62*IF(P64=0,0.3,1)))</f>
        <v>0</v>
      </c>
      <c r="D77" s="7">
        <f>IF(A77="","",C77*(1-P66))</f>
        <v>0</v>
      </c>
      <c r="E77" s="9">
        <f>IF(A77="","",H66)</f>
        <v>0</v>
      </c>
      <c r="F77" s="7">
        <f>IF(A77="","",E77*(1-R66))</f>
        <v>0</v>
      </c>
      <c r="G77" s="9">
        <f t="shared" si="12"/>
        <v>0</v>
      </c>
      <c r="H77" s="7">
        <f t="shared" si="13"/>
        <v>0</v>
      </c>
      <c r="I77" s="9">
        <f t="shared" si="14"/>
        <v>0</v>
      </c>
      <c r="J77" s="7">
        <f t="shared" si="15"/>
        <v>0</v>
      </c>
      <c r="L77" s="163"/>
      <c r="M77" s="163"/>
      <c r="N77" s="163"/>
      <c r="O77" s="163"/>
      <c r="P77" s="163"/>
      <c r="Q77" s="163"/>
      <c r="R77" s="163"/>
    </row>
    <row r="78" spans="1:19">
      <c r="B78" s="6"/>
      <c r="E78" s="9" t="str">
        <f>IF(A78="","",#REF!)</f>
        <v/>
      </c>
      <c r="F78" s="7" t="str">
        <f>IF(A78="","",E78*(1-#REF!))</f>
        <v/>
      </c>
      <c r="G78" s="6"/>
      <c r="I78" s="6"/>
    </row>
    <row r="79" spans="1:19" ht="13.15">
      <c r="G79" s="18" t="s">
        <v>117</v>
      </c>
      <c r="H79" s="19" t="s">
        <v>133</v>
      </c>
    </row>
    <row r="80" spans="1:19">
      <c r="A80" s="20"/>
      <c r="B80" s="20"/>
      <c r="C80" s="20"/>
      <c r="D80" s="20"/>
      <c r="E80" s="20"/>
      <c r="F80" s="20"/>
      <c r="G80" s="21"/>
      <c r="H80" s="22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</row>
    <row r="82" spans="1:18" ht="13.15">
      <c r="A82" s="2" t="s">
        <v>104</v>
      </c>
      <c r="B82" s="14"/>
      <c r="G82" s="4" t="s">
        <v>105</v>
      </c>
      <c r="H82" s="27"/>
      <c r="K82" s="4" t="s">
        <v>106</v>
      </c>
      <c r="L82" s="164"/>
      <c r="M82" s="164"/>
      <c r="N82" s="164"/>
      <c r="O82" s="165"/>
      <c r="Q82" s="4" t="s">
        <v>108</v>
      </c>
      <c r="R82" s="5"/>
    </row>
    <row r="83" spans="1:18">
      <c r="R83" s="10" t="str">
        <f>IF(OR(AND(L82="molto vicino al baricentro",R82&gt;1.05),AND(L82="distanza intermedia dal baricentro",OR(R82&lt;1.05,R82&gt;1.15)),AND(L82="molto distante dal baricentro",R82&lt;1.15)),"sei sicuro?","")</f>
        <v/>
      </c>
    </row>
    <row r="84" spans="1:18">
      <c r="A84" s="4" t="s">
        <v>109</v>
      </c>
      <c r="B84" s="164"/>
      <c r="C84" s="165"/>
      <c r="F84" s="4" t="s">
        <v>110</v>
      </c>
      <c r="G84" s="164"/>
      <c r="H84" s="165"/>
      <c r="L84" s="4" t="s">
        <v>107</v>
      </c>
      <c r="M84" s="164"/>
      <c r="N84" s="165"/>
      <c r="O84" s="165"/>
      <c r="P84" s="28" t="str">
        <f>IF(M84="","",IF(M84="due pilastri di coltello",2,IF(M84="un pilastro di coltello",1,0)))</f>
        <v/>
      </c>
    </row>
    <row r="85" spans="1:18">
      <c r="A85" s="10" t="str">
        <f>IF(B84="a spessore","momento da  sisma trascurabile","")</f>
        <v/>
      </c>
      <c r="B85" s="17"/>
      <c r="D85" s="10" t="str">
        <f>IF(A85&lt;&gt;"","",IF(AND(G84="più corta delle altre",P84&gt;0),"il momento da sisma può essere maggiore delle previsioni",IF(AND(G84="più lunga delle altre",P84&gt;0),"il momento da sisma è probabilmente minore delle previsioni", "")))</f>
        <v/>
      </c>
      <c r="M85" s="10" t="str">
        <f>IF(P84=0,"il momento da sisma è meno rilevante","")</f>
        <v/>
      </c>
    </row>
    <row r="86" spans="1:18">
      <c r="F86" s="4" t="s">
        <v>112</v>
      </c>
      <c r="G86" s="1" t="s">
        <v>125</v>
      </c>
      <c r="H86" s="12"/>
      <c r="I86" s="3" t="s">
        <v>111</v>
      </c>
      <c r="N86" s="4" t="s">
        <v>113</v>
      </c>
      <c r="O86" s="1" t="s">
        <v>121</v>
      </c>
      <c r="P86" s="13"/>
      <c r="Q86" s="1" t="s">
        <v>122</v>
      </c>
      <c r="R86" s="13"/>
    </row>
    <row r="88" spans="1:18" ht="14.25">
      <c r="A88" s="1" t="s">
        <v>50</v>
      </c>
      <c r="B88" s="166" t="s">
        <v>126</v>
      </c>
      <c r="C88" s="167"/>
      <c r="D88" s="167"/>
      <c r="E88" s="166" t="s">
        <v>127</v>
      </c>
      <c r="F88" s="168"/>
      <c r="G88" s="166" t="s">
        <v>123</v>
      </c>
      <c r="H88" s="168"/>
      <c r="I88" s="166" t="s">
        <v>124</v>
      </c>
      <c r="J88" s="168"/>
    </row>
    <row r="89" spans="1:18">
      <c r="B89" s="8" t="s">
        <v>114</v>
      </c>
      <c r="C89" s="1" t="s">
        <v>115</v>
      </c>
      <c r="D89" s="1" t="s">
        <v>116</v>
      </c>
      <c r="E89" s="8" t="s">
        <v>115</v>
      </c>
      <c r="F89" s="1" t="s">
        <v>116</v>
      </c>
      <c r="G89" s="8" t="s">
        <v>115</v>
      </c>
      <c r="H89" s="1" t="s">
        <v>116</v>
      </c>
      <c r="I89" s="8" t="s">
        <v>115</v>
      </c>
      <c r="J89" s="1" t="s">
        <v>116</v>
      </c>
    </row>
    <row r="90" spans="1:18">
      <c r="A90" s="1" t="str">
        <f>CarSoll!$A$11</f>
        <v/>
      </c>
      <c r="B90" s="9" t="str">
        <f>IF(A90="","",IF(H82="",0,IF(H82="x",VLOOKUP(A90,CarSoll!$A$11:$S$19,18,FALSE),VLOOKUP(A90,CarSoll!$A$26:$S$34,18,FALSE))))</f>
        <v/>
      </c>
      <c r="C90" s="7" t="str">
        <f>IF(A90="","",IF(B84="a spessore",0,B90*R82*IF(P84=0,0.3,1)))</f>
        <v/>
      </c>
      <c r="D90" s="7" t="str">
        <f>IF(A90="","",C90*(1-P86))</f>
        <v/>
      </c>
      <c r="E90" s="9" t="str">
        <f>IF(A90="","",H86)</f>
        <v/>
      </c>
      <c r="F90" s="7" t="str">
        <f>IF(A90="","",E90*(1-R86))</f>
        <v/>
      </c>
      <c r="G90" s="9" t="str">
        <f>IF(A90="","",-C90-E90)</f>
        <v/>
      </c>
      <c r="H90" s="7" t="str">
        <f>IF(B90="","",-D90-F90)</f>
        <v/>
      </c>
      <c r="I90" s="9" t="str">
        <f>IF(A90="","",C90-E90)</f>
        <v/>
      </c>
      <c r="J90" s="7" t="str">
        <f>IF(B90="","",D90-F90)</f>
        <v/>
      </c>
    </row>
    <row r="91" spans="1:18">
      <c r="A91" s="1" t="str">
        <f>CarSoll!$A$12</f>
        <v/>
      </c>
      <c r="B91" s="9" t="str">
        <f>IF(A91="","",IF(H82="",0,IF(H82="x",VLOOKUP(A91,CarSoll!$A$11:$S$19,18,FALSE),VLOOKUP(A91,CarSoll!$A$26:$S$34,18,FALSE))))</f>
        <v/>
      </c>
      <c r="C91" s="7" t="str">
        <f>IF(A91="","",IF(B84="a spessore",0,B91*R82*IF(P84=0,0.3,1)))</f>
        <v/>
      </c>
      <c r="D91" s="7" t="str">
        <f>IF(A91="","",C91*(1-P86))</f>
        <v/>
      </c>
      <c r="E91" s="9" t="str">
        <f>IF(A91="","",H86)</f>
        <v/>
      </c>
      <c r="F91" s="7" t="str">
        <f>IF(A91="","",E91*(1-R86))</f>
        <v/>
      </c>
      <c r="G91" s="9" t="str">
        <f t="shared" ref="G91:G97" si="16">IF(A91="","",-C91-E91)</f>
        <v/>
      </c>
      <c r="H91" s="7" t="str">
        <f t="shared" ref="H91:H97" si="17">IF(B91="","",-D91-F91)</f>
        <v/>
      </c>
      <c r="I91" s="9" t="str">
        <f t="shared" ref="I91:I97" si="18">IF(A91="","",C91-E91)</f>
        <v/>
      </c>
      <c r="J91" s="7" t="str">
        <f t="shared" ref="J91:J97" si="19">IF(B91="","",D91-F91)</f>
        <v/>
      </c>
    </row>
    <row r="92" spans="1:18">
      <c r="A92" s="1" t="str">
        <f>CarSoll!$A$13</f>
        <v/>
      </c>
      <c r="B92" s="9" t="str">
        <f>IF(A92="","",IF(H82="",0,IF(H82="x",VLOOKUP(A92,CarSoll!$A$11:$S$19,18,FALSE),VLOOKUP(A92,CarSoll!$A$26:$S$34,18,FALSE))))</f>
        <v/>
      </c>
      <c r="C92" s="7" t="str">
        <f>IF(A92="","",IF(B84="a spessore",0,B92*R82*IF(P84=0,0.3,1)))</f>
        <v/>
      </c>
      <c r="D92" s="7" t="str">
        <f>IF(A92="","",C92*(1-P86))</f>
        <v/>
      </c>
      <c r="E92" s="9" t="str">
        <f>IF(A92="","",H86)</f>
        <v/>
      </c>
      <c r="F92" s="7" t="str">
        <f>IF(A92="","",E92*(1-R86))</f>
        <v/>
      </c>
      <c r="G92" s="9" t="str">
        <f t="shared" si="16"/>
        <v/>
      </c>
      <c r="H92" s="7" t="str">
        <f t="shared" si="17"/>
        <v/>
      </c>
      <c r="I92" s="9" t="str">
        <f t="shared" si="18"/>
        <v/>
      </c>
      <c r="J92" s="7" t="str">
        <f t="shared" si="19"/>
        <v/>
      </c>
    </row>
    <row r="93" spans="1:18">
      <c r="A93" s="1">
        <f>CarSoll!$A$14</f>
        <v>5</v>
      </c>
      <c r="B93" s="9">
        <f>IF(A93="","",IF(H82="",0,IF(H82="x",VLOOKUP(A93,CarSoll!$A$11:$S$19,18,FALSE),VLOOKUP(A93,CarSoll!$A$26:$S$34,18,FALSE))))</f>
        <v>0</v>
      </c>
      <c r="C93" s="7">
        <f>IF(A93="","",IF(B84="a spessore",0,B93*R82*IF(P84=0,0.3,1)))</f>
        <v>0</v>
      </c>
      <c r="D93" s="7">
        <f>IF(A93="","",C93*(1-P86))</f>
        <v>0</v>
      </c>
      <c r="E93" s="9">
        <f>IF(A93="","",H86)</f>
        <v>0</v>
      </c>
      <c r="F93" s="7">
        <f>IF(A93="","",E93*(1-R86))</f>
        <v>0</v>
      </c>
      <c r="G93" s="9">
        <f t="shared" si="16"/>
        <v>0</v>
      </c>
      <c r="H93" s="7">
        <f t="shared" si="17"/>
        <v>0</v>
      </c>
      <c r="I93" s="9">
        <f t="shared" si="18"/>
        <v>0</v>
      </c>
      <c r="J93" s="7">
        <f t="shared" si="19"/>
        <v>0</v>
      </c>
    </row>
    <row r="94" spans="1:18">
      <c r="A94" s="1">
        <f>CarSoll!$A$15</f>
        <v>4</v>
      </c>
      <c r="B94" s="9">
        <f>IF(A94="","",IF(H82="",0,IF(H82="x",VLOOKUP(A94,CarSoll!$A$11:$S$19,18,FALSE),VLOOKUP(A94,CarSoll!$A$26:$S$34,18,FALSE))))</f>
        <v>0</v>
      </c>
      <c r="C94" s="7">
        <f>IF(A94="","",IF(B84="a spessore",0,B94*R82*IF(P84=0,0.3,1)))</f>
        <v>0</v>
      </c>
      <c r="D94" s="7">
        <f>IF(A94="","",C94*(1-P86))</f>
        <v>0</v>
      </c>
      <c r="E94" s="9">
        <f>IF(A94="","",H86)</f>
        <v>0</v>
      </c>
      <c r="F94" s="7">
        <f>IF(A94="","",E94*(1-R86))</f>
        <v>0</v>
      </c>
      <c r="G94" s="9">
        <f t="shared" si="16"/>
        <v>0</v>
      </c>
      <c r="H94" s="7">
        <f t="shared" si="17"/>
        <v>0</v>
      </c>
      <c r="I94" s="9">
        <f t="shared" si="18"/>
        <v>0</v>
      </c>
      <c r="J94" s="7">
        <f t="shared" si="19"/>
        <v>0</v>
      </c>
      <c r="L94" s="29" t="s">
        <v>152</v>
      </c>
    </row>
    <row r="95" spans="1:18">
      <c r="A95" s="1">
        <f>CarSoll!$A$16</f>
        <v>3</v>
      </c>
      <c r="B95" s="9">
        <f>IF(A95="","",IF(H82="",0,IF(H82="x",VLOOKUP(A95,CarSoll!$A$11:$S$19,18,FALSE),VLOOKUP(A95,CarSoll!$A$26:$S$34,18,FALSE))))</f>
        <v>0</v>
      </c>
      <c r="C95" s="7">
        <f>IF(A95="","",IF(B84="a spessore",0,B95*R82*IF(P84=0,0.3,1)))</f>
        <v>0</v>
      </c>
      <c r="D95" s="7">
        <f>IF(A95="","",C95*(1-P86))</f>
        <v>0</v>
      </c>
      <c r="E95" s="9">
        <f>IF(A95="","",H86)</f>
        <v>0</v>
      </c>
      <c r="F95" s="7">
        <f>IF(A95="","",E95*(1-R86))</f>
        <v>0</v>
      </c>
      <c r="G95" s="9">
        <f t="shared" si="16"/>
        <v>0</v>
      </c>
      <c r="H95" s="7">
        <f t="shared" si="17"/>
        <v>0</v>
      </c>
      <c r="I95" s="9">
        <f t="shared" si="18"/>
        <v>0</v>
      </c>
      <c r="J95" s="7">
        <f t="shared" si="19"/>
        <v>0</v>
      </c>
      <c r="L95" s="163"/>
      <c r="M95" s="163"/>
      <c r="N95" s="163"/>
      <c r="O95" s="163"/>
      <c r="P95" s="163"/>
      <c r="Q95" s="163"/>
      <c r="R95" s="163"/>
    </row>
    <row r="96" spans="1:18">
      <c r="A96" s="1">
        <f>CarSoll!$A$17</f>
        <v>2</v>
      </c>
      <c r="B96" s="9">
        <f>IF(A96="","",IF(H82="",0,IF(H82="x",VLOOKUP(A96,CarSoll!$A$11:$S$19,18,FALSE),VLOOKUP(A96,CarSoll!$A$26:$S$34,18,FALSE))))</f>
        <v>0</v>
      </c>
      <c r="C96" s="7">
        <f>IF(A96="","",IF(B84="a spessore",0,B96*R82*IF(P84=0,0.3,1)))</f>
        <v>0</v>
      </c>
      <c r="D96" s="7">
        <f>IF(A96="","",C96*(1-P86))</f>
        <v>0</v>
      </c>
      <c r="E96" s="9">
        <f>IF(A96="","",H86)</f>
        <v>0</v>
      </c>
      <c r="F96" s="7">
        <f>IF(A96="","",E96*(1-R86))</f>
        <v>0</v>
      </c>
      <c r="G96" s="9">
        <f t="shared" si="16"/>
        <v>0</v>
      </c>
      <c r="H96" s="7">
        <f t="shared" si="17"/>
        <v>0</v>
      </c>
      <c r="I96" s="9">
        <f t="shared" si="18"/>
        <v>0</v>
      </c>
      <c r="J96" s="7">
        <f t="shared" si="19"/>
        <v>0</v>
      </c>
      <c r="L96" s="163"/>
      <c r="M96" s="163"/>
      <c r="N96" s="163"/>
      <c r="O96" s="163"/>
      <c r="P96" s="163"/>
      <c r="Q96" s="163"/>
      <c r="R96" s="163"/>
    </row>
    <row r="97" spans="1:19">
      <c r="A97" s="1">
        <f>CarSoll!$A$18</f>
        <v>1</v>
      </c>
      <c r="B97" s="9">
        <f>IF(A97="","",IF(H82="",0,IF(H82="x",VLOOKUP(A97,CarSoll!$A$11:$S$19,18,FALSE),VLOOKUP(A97,CarSoll!$A$26:$S$34,18,FALSE))))</f>
        <v>0</v>
      </c>
      <c r="C97" s="7">
        <f>IF(A97="","",IF(B84="a spessore",0,B97*R82*IF(P84=0,0.3,1)))</f>
        <v>0</v>
      </c>
      <c r="D97" s="7">
        <f>IF(A97="","",C97*(1-P86))</f>
        <v>0</v>
      </c>
      <c r="E97" s="9">
        <f>IF(A97="","",H86)</f>
        <v>0</v>
      </c>
      <c r="F97" s="7">
        <f>IF(A97="","",E97*(1-R86))</f>
        <v>0</v>
      </c>
      <c r="G97" s="9">
        <f t="shared" si="16"/>
        <v>0</v>
      </c>
      <c r="H97" s="7">
        <f t="shared" si="17"/>
        <v>0</v>
      </c>
      <c r="I97" s="9">
        <f t="shared" si="18"/>
        <v>0</v>
      </c>
      <c r="J97" s="7">
        <f t="shared" si="19"/>
        <v>0</v>
      </c>
      <c r="L97" s="163"/>
      <c r="M97" s="163"/>
      <c r="N97" s="163"/>
      <c r="O97" s="163"/>
      <c r="P97" s="163"/>
      <c r="Q97" s="163"/>
      <c r="R97" s="163"/>
    </row>
    <row r="98" spans="1:19">
      <c r="B98" s="6"/>
      <c r="E98" s="9" t="str">
        <f>IF(A98="","",#REF!)</f>
        <v/>
      </c>
      <c r="F98" s="7" t="str">
        <f>IF(A98="","",E98*(1-#REF!))</f>
        <v/>
      </c>
      <c r="G98" s="6"/>
      <c r="I98" s="6"/>
    </row>
    <row r="99" spans="1:19" ht="13.15">
      <c r="G99" s="18" t="s">
        <v>117</v>
      </c>
      <c r="H99" s="19" t="s">
        <v>133</v>
      </c>
    </row>
    <row r="100" spans="1:19">
      <c r="A100" s="20"/>
      <c r="B100" s="20"/>
      <c r="C100" s="20"/>
      <c r="D100" s="20"/>
      <c r="E100" s="20"/>
      <c r="F100" s="20"/>
      <c r="G100" s="21"/>
      <c r="H100" s="22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</row>
    <row r="102" spans="1:19" ht="13.15">
      <c r="A102" s="2" t="s">
        <v>104</v>
      </c>
      <c r="B102" s="14"/>
      <c r="G102" s="4" t="s">
        <v>105</v>
      </c>
      <c r="H102" s="27"/>
      <c r="K102" s="4" t="s">
        <v>106</v>
      </c>
      <c r="L102" s="164"/>
      <c r="M102" s="164"/>
      <c r="N102" s="164"/>
      <c r="O102" s="165"/>
      <c r="Q102" s="4" t="s">
        <v>108</v>
      </c>
      <c r="R102" s="5"/>
    </row>
    <row r="103" spans="1:19">
      <c r="R103" s="10" t="str">
        <f>IF(OR(AND(L102="molto vicino al baricentro",R102&gt;1.05),AND(L102="distanza intermedia dal baricentro",OR(R102&lt;1.05,R102&gt;1.15)),AND(L102="molto distante dal baricentro",R102&lt;1.15)),"sei sicuro?","")</f>
        <v/>
      </c>
    </row>
    <row r="104" spans="1:19">
      <c r="A104" s="4" t="s">
        <v>109</v>
      </c>
      <c r="B104" s="164"/>
      <c r="C104" s="165"/>
      <c r="F104" s="4" t="s">
        <v>110</v>
      </c>
      <c r="G104" s="164"/>
      <c r="H104" s="165"/>
      <c r="L104" s="4" t="s">
        <v>107</v>
      </c>
      <c r="M104" s="164"/>
      <c r="N104" s="165"/>
      <c r="O104" s="165"/>
      <c r="P104" s="28" t="str">
        <f>IF(M104="","",IF(M104="due pilastri di coltello",2,IF(M104="un pilastro di coltello",1,0)))</f>
        <v/>
      </c>
    </row>
    <row r="105" spans="1:19">
      <c r="A105" s="10" t="str">
        <f>IF(B104="a spessore","momento da  sisma trascurabile","")</f>
        <v/>
      </c>
      <c r="B105" s="17"/>
      <c r="D105" s="10" t="str">
        <f>IF(A105&lt;&gt;"","",IF(AND(G104="più corta delle altre",P104&gt;0),"il momento da sisma può essere maggiore delle previsioni",IF(AND(G104="più lunga delle altre",P104&gt;0),"il momento da sisma è probabilmente minore delle previsioni", "")))</f>
        <v/>
      </c>
      <c r="M105" s="10" t="str">
        <f>IF(P104=0,"il momento da sisma è meno rilevante","")</f>
        <v/>
      </c>
    </row>
    <row r="106" spans="1:19">
      <c r="F106" s="4" t="s">
        <v>112</v>
      </c>
      <c r="G106" s="1" t="s">
        <v>125</v>
      </c>
      <c r="H106" s="12"/>
      <c r="I106" s="3" t="s">
        <v>111</v>
      </c>
      <c r="N106" s="4" t="s">
        <v>113</v>
      </c>
      <c r="O106" s="1" t="s">
        <v>121</v>
      </c>
      <c r="P106" s="13"/>
      <c r="Q106" s="1" t="s">
        <v>122</v>
      </c>
      <c r="R106" s="13"/>
    </row>
    <row r="108" spans="1:19" ht="14.25">
      <c r="A108" s="1" t="s">
        <v>50</v>
      </c>
      <c r="B108" s="166" t="s">
        <v>126</v>
      </c>
      <c r="C108" s="167"/>
      <c r="D108" s="167"/>
      <c r="E108" s="166" t="s">
        <v>127</v>
      </c>
      <c r="F108" s="168"/>
      <c r="G108" s="166" t="s">
        <v>123</v>
      </c>
      <c r="H108" s="168"/>
      <c r="I108" s="166" t="s">
        <v>124</v>
      </c>
      <c r="J108" s="168"/>
    </row>
    <row r="109" spans="1:19">
      <c r="B109" s="8" t="s">
        <v>114</v>
      </c>
      <c r="C109" s="1" t="s">
        <v>115</v>
      </c>
      <c r="D109" s="1" t="s">
        <v>116</v>
      </c>
      <c r="E109" s="8" t="s">
        <v>115</v>
      </c>
      <c r="F109" s="1" t="s">
        <v>116</v>
      </c>
      <c r="G109" s="8" t="s">
        <v>115</v>
      </c>
      <c r="H109" s="1" t="s">
        <v>116</v>
      </c>
      <c r="I109" s="8" t="s">
        <v>115</v>
      </c>
      <c r="J109" s="1" t="s">
        <v>116</v>
      </c>
    </row>
    <row r="110" spans="1:19">
      <c r="A110" s="1" t="str">
        <f>CarSoll!$A$11</f>
        <v/>
      </c>
      <c r="B110" s="9" t="str">
        <f>IF(A110="","",IF(H102="",0,IF(H102="x",VLOOKUP(A110,CarSoll!$A$11:$S$19,18,FALSE),VLOOKUP(A110,CarSoll!$A$26:$S$34,18,FALSE))))</f>
        <v/>
      </c>
      <c r="C110" s="7" t="str">
        <f>IF(A110="","",IF(B104="a spessore",0,B110*R102*IF(P104=0,0.3,1)))</f>
        <v/>
      </c>
      <c r="D110" s="7" t="str">
        <f>IF(A110="","",C110*(1-P106))</f>
        <v/>
      </c>
      <c r="E110" s="9" t="str">
        <f>IF(A110="","",H106)</f>
        <v/>
      </c>
      <c r="F110" s="7" t="str">
        <f>IF(A110="","",E110*(1-R106))</f>
        <v/>
      </c>
      <c r="G110" s="9" t="str">
        <f>IF(A110="","",-C110-E110)</f>
        <v/>
      </c>
      <c r="H110" s="7" t="str">
        <f>IF(B110="","",-D110-F110)</f>
        <v/>
      </c>
      <c r="I110" s="9" t="str">
        <f>IF(A110="","",C110-E110)</f>
        <v/>
      </c>
      <c r="J110" s="7" t="str">
        <f>IF(B110="","",D110-F110)</f>
        <v/>
      </c>
    </row>
    <row r="111" spans="1:19">
      <c r="A111" s="1" t="str">
        <f>CarSoll!$A$12</f>
        <v/>
      </c>
      <c r="B111" s="9" t="str">
        <f>IF(A111="","",IF(H102="",0,IF(H102="x",VLOOKUP(A111,CarSoll!$A$11:$S$19,18,FALSE),VLOOKUP(A111,CarSoll!$A$26:$S$34,18,FALSE))))</f>
        <v/>
      </c>
      <c r="C111" s="7" t="str">
        <f>IF(A111="","",IF(B104="a spessore",0,B111*R102*IF(P104=0,0.3,1)))</f>
        <v/>
      </c>
      <c r="D111" s="7" t="str">
        <f>IF(A111="","",C111*(1-P106))</f>
        <v/>
      </c>
      <c r="E111" s="9" t="str">
        <f>IF(A111="","",H106)</f>
        <v/>
      </c>
      <c r="F111" s="7" t="str">
        <f>IF(A111="","",E111*(1-R106))</f>
        <v/>
      </c>
      <c r="G111" s="9" t="str">
        <f t="shared" ref="G111:G117" si="20">IF(A111="","",-C111-E111)</f>
        <v/>
      </c>
      <c r="H111" s="7" t="str">
        <f t="shared" ref="H111:H117" si="21">IF(B111="","",-D111-F111)</f>
        <v/>
      </c>
      <c r="I111" s="9" t="str">
        <f t="shared" ref="I111:I117" si="22">IF(A111="","",C111-E111)</f>
        <v/>
      </c>
      <c r="J111" s="7" t="str">
        <f t="shared" ref="J111:J117" si="23">IF(B111="","",D111-F111)</f>
        <v/>
      </c>
    </row>
    <row r="112" spans="1:19">
      <c r="A112" s="1" t="str">
        <f>CarSoll!$A$13</f>
        <v/>
      </c>
      <c r="B112" s="9" t="str">
        <f>IF(A112="","",IF(H102="",0,IF(H102="x",VLOOKUP(A112,CarSoll!$A$11:$S$19,18,FALSE),VLOOKUP(A112,CarSoll!$A$26:$S$34,18,FALSE))))</f>
        <v/>
      </c>
      <c r="C112" s="7" t="str">
        <f>IF(A112="","",IF(B104="a spessore",0,B112*R102*IF(P104=0,0.3,1)))</f>
        <v/>
      </c>
      <c r="D112" s="7" t="str">
        <f>IF(A112="","",C112*(1-P106))</f>
        <v/>
      </c>
      <c r="E112" s="9" t="str">
        <f>IF(A112="","",H106)</f>
        <v/>
      </c>
      <c r="F112" s="7" t="str">
        <f>IF(A112="","",E112*(1-R106))</f>
        <v/>
      </c>
      <c r="G112" s="9" t="str">
        <f t="shared" si="20"/>
        <v/>
      </c>
      <c r="H112" s="7" t="str">
        <f t="shared" si="21"/>
        <v/>
      </c>
      <c r="I112" s="9" t="str">
        <f t="shared" si="22"/>
        <v/>
      </c>
      <c r="J112" s="7" t="str">
        <f t="shared" si="23"/>
        <v/>
      </c>
    </row>
    <row r="113" spans="1:19">
      <c r="A113" s="1">
        <f>CarSoll!$A$14</f>
        <v>5</v>
      </c>
      <c r="B113" s="9">
        <f>IF(A113="","",IF(H102="",0,IF(H102="x",VLOOKUP(A113,CarSoll!$A$11:$S$19,18,FALSE),VLOOKUP(A113,CarSoll!$A$26:$S$34,18,FALSE))))</f>
        <v>0</v>
      </c>
      <c r="C113" s="7">
        <f>IF(A113="","",IF(B104="a spessore",0,B113*R102*IF(P104=0,0.3,1)))</f>
        <v>0</v>
      </c>
      <c r="D113" s="7">
        <f>IF(A113="","",C113*(1-P106))</f>
        <v>0</v>
      </c>
      <c r="E113" s="9">
        <f>IF(A113="","",H106)</f>
        <v>0</v>
      </c>
      <c r="F113" s="7">
        <f>IF(A113="","",E113*(1-R106))</f>
        <v>0</v>
      </c>
      <c r="G113" s="9">
        <f t="shared" si="20"/>
        <v>0</v>
      </c>
      <c r="H113" s="7">
        <f t="shared" si="21"/>
        <v>0</v>
      </c>
      <c r="I113" s="9">
        <f t="shared" si="22"/>
        <v>0</v>
      </c>
      <c r="J113" s="7">
        <f t="shared" si="23"/>
        <v>0</v>
      </c>
    </row>
    <row r="114" spans="1:19">
      <c r="A114" s="1">
        <f>CarSoll!$A$15</f>
        <v>4</v>
      </c>
      <c r="B114" s="9">
        <f>IF(A114="","",IF(H102="",0,IF(H102="x",VLOOKUP(A114,CarSoll!$A$11:$S$19,18,FALSE),VLOOKUP(A114,CarSoll!$A$26:$S$34,18,FALSE))))</f>
        <v>0</v>
      </c>
      <c r="C114" s="7">
        <f>IF(A114="","",IF(B104="a spessore",0,B114*R102*IF(P104=0,0.3,1)))</f>
        <v>0</v>
      </c>
      <c r="D114" s="7">
        <f>IF(A114="","",C114*(1-P106))</f>
        <v>0</v>
      </c>
      <c r="E114" s="9">
        <f>IF(A114="","",H106)</f>
        <v>0</v>
      </c>
      <c r="F114" s="7">
        <f>IF(A114="","",E114*(1-R106))</f>
        <v>0</v>
      </c>
      <c r="G114" s="9">
        <f t="shared" si="20"/>
        <v>0</v>
      </c>
      <c r="H114" s="7">
        <f t="shared" si="21"/>
        <v>0</v>
      </c>
      <c r="I114" s="9">
        <f t="shared" si="22"/>
        <v>0</v>
      </c>
      <c r="J114" s="7">
        <f t="shared" si="23"/>
        <v>0</v>
      </c>
      <c r="L114" s="29" t="s">
        <v>152</v>
      </c>
    </row>
    <row r="115" spans="1:19">
      <c r="A115" s="1">
        <f>CarSoll!$A$16</f>
        <v>3</v>
      </c>
      <c r="B115" s="9">
        <f>IF(A115="","",IF(H102="",0,IF(H102="x",VLOOKUP(A115,CarSoll!$A$11:$S$19,18,FALSE),VLOOKUP(A115,CarSoll!$A$26:$S$34,18,FALSE))))</f>
        <v>0</v>
      </c>
      <c r="C115" s="7">
        <f>IF(A115="","",IF(B104="a spessore",0,B115*R102*IF(P104=0,0.3,1)))</f>
        <v>0</v>
      </c>
      <c r="D115" s="7">
        <f>IF(A115="","",C115*(1-P106))</f>
        <v>0</v>
      </c>
      <c r="E115" s="9">
        <f>IF(A115="","",H106)</f>
        <v>0</v>
      </c>
      <c r="F115" s="7">
        <f>IF(A115="","",E115*(1-R106))</f>
        <v>0</v>
      </c>
      <c r="G115" s="9">
        <f t="shared" si="20"/>
        <v>0</v>
      </c>
      <c r="H115" s="7">
        <f t="shared" si="21"/>
        <v>0</v>
      </c>
      <c r="I115" s="9">
        <f t="shared" si="22"/>
        <v>0</v>
      </c>
      <c r="J115" s="7">
        <f t="shared" si="23"/>
        <v>0</v>
      </c>
      <c r="L115" s="163"/>
      <c r="M115" s="163"/>
      <c r="N115" s="163"/>
      <c r="O115" s="163"/>
      <c r="P115" s="163"/>
      <c r="Q115" s="163"/>
      <c r="R115" s="163"/>
    </row>
    <row r="116" spans="1:19">
      <c r="A116" s="1">
        <f>CarSoll!$A$17</f>
        <v>2</v>
      </c>
      <c r="B116" s="9">
        <f>IF(A116="","",IF(H102="",0,IF(H102="x",VLOOKUP(A116,CarSoll!$A$11:$S$19,18,FALSE),VLOOKUP(A116,CarSoll!$A$26:$S$34,18,FALSE))))</f>
        <v>0</v>
      </c>
      <c r="C116" s="7">
        <f>IF(A116="","",IF(B104="a spessore",0,B116*R102*IF(P104=0,0.3,1)))</f>
        <v>0</v>
      </c>
      <c r="D116" s="7">
        <f>IF(A116="","",C116*(1-P106))</f>
        <v>0</v>
      </c>
      <c r="E116" s="9">
        <f>IF(A116="","",H106)</f>
        <v>0</v>
      </c>
      <c r="F116" s="7">
        <f>IF(A116="","",E116*(1-R106))</f>
        <v>0</v>
      </c>
      <c r="G116" s="9">
        <f t="shared" si="20"/>
        <v>0</v>
      </c>
      <c r="H116" s="7">
        <f t="shared" si="21"/>
        <v>0</v>
      </c>
      <c r="I116" s="9">
        <f t="shared" si="22"/>
        <v>0</v>
      </c>
      <c r="J116" s="7">
        <f t="shared" si="23"/>
        <v>0</v>
      </c>
      <c r="L116" s="163"/>
      <c r="M116" s="163"/>
      <c r="N116" s="163"/>
      <c r="O116" s="163"/>
      <c r="P116" s="163"/>
      <c r="Q116" s="163"/>
      <c r="R116" s="163"/>
    </row>
    <row r="117" spans="1:19">
      <c r="A117" s="1">
        <f>CarSoll!$A$18</f>
        <v>1</v>
      </c>
      <c r="B117" s="9">
        <f>IF(A117="","",IF(H102="",0,IF(H102="x",VLOOKUP(A117,CarSoll!$A$11:$S$19,18,FALSE),VLOOKUP(A117,CarSoll!$A$26:$S$34,18,FALSE))))</f>
        <v>0</v>
      </c>
      <c r="C117" s="7">
        <f>IF(A117="","",IF(B104="a spessore",0,B117*R102*IF(P104=0,0.3,1)))</f>
        <v>0</v>
      </c>
      <c r="D117" s="7">
        <f>IF(A117="","",C117*(1-P106))</f>
        <v>0</v>
      </c>
      <c r="E117" s="9">
        <f>IF(A117="","",H106)</f>
        <v>0</v>
      </c>
      <c r="F117" s="7">
        <f>IF(A117="","",E117*(1-R106))</f>
        <v>0</v>
      </c>
      <c r="G117" s="9">
        <f t="shared" si="20"/>
        <v>0</v>
      </c>
      <c r="H117" s="7">
        <f t="shared" si="21"/>
        <v>0</v>
      </c>
      <c r="I117" s="9">
        <f t="shared" si="22"/>
        <v>0</v>
      </c>
      <c r="J117" s="7">
        <f t="shared" si="23"/>
        <v>0</v>
      </c>
      <c r="L117" s="163"/>
      <c r="M117" s="163"/>
      <c r="N117" s="163"/>
      <c r="O117" s="163"/>
      <c r="P117" s="163"/>
      <c r="Q117" s="163"/>
      <c r="R117" s="163"/>
    </row>
    <row r="118" spans="1:19">
      <c r="B118" s="6"/>
      <c r="E118" s="9" t="str">
        <f>IF(A118="","",#REF!)</f>
        <v/>
      </c>
      <c r="F118" s="7" t="str">
        <f>IF(A118="","",E118*(1-#REF!))</f>
        <v/>
      </c>
      <c r="G118" s="6"/>
      <c r="I118" s="6"/>
    </row>
    <row r="119" spans="1:19" ht="13.15">
      <c r="G119" s="18" t="s">
        <v>117</v>
      </c>
      <c r="H119" s="19" t="s">
        <v>133</v>
      </c>
    </row>
    <row r="120" spans="1:19">
      <c r="A120" s="20"/>
      <c r="B120" s="20"/>
      <c r="C120" s="20"/>
      <c r="D120" s="20"/>
      <c r="E120" s="20"/>
      <c r="F120" s="20"/>
      <c r="G120" s="21"/>
      <c r="H120" s="22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</row>
    <row r="122" spans="1:19" ht="13.15">
      <c r="A122" s="2" t="s">
        <v>104</v>
      </c>
      <c r="B122" s="14"/>
      <c r="G122" s="4" t="s">
        <v>105</v>
      </c>
      <c r="H122" s="27"/>
      <c r="K122" s="4" t="s">
        <v>106</v>
      </c>
      <c r="L122" s="164"/>
      <c r="M122" s="164"/>
      <c r="N122" s="164"/>
      <c r="O122" s="165"/>
      <c r="Q122" s="4" t="s">
        <v>108</v>
      </c>
      <c r="R122" s="5"/>
    </row>
    <row r="123" spans="1:19">
      <c r="R123" s="10" t="str">
        <f>IF(OR(AND(L122="molto vicino al baricentro",R122&gt;1.05),AND(L122="distanza intermedia dal baricentro",OR(R122&lt;1.05,R122&gt;1.15)),AND(L122="molto distante dal baricentro",R122&lt;1.15)),"sei sicuro?","")</f>
        <v/>
      </c>
    </row>
    <row r="124" spans="1:19">
      <c r="A124" s="4" t="s">
        <v>109</v>
      </c>
      <c r="B124" s="164"/>
      <c r="C124" s="165"/>
      <c r="F124" s="4" t="s">
        <v>110</v>
      </c>
      <c r="G124" s="164"/>
      <c r="H124" s="165"/>
      <c r="L124" s="4" t="s">
        <v>107</v>
      </c>
      <c r="M124" s="164"/>
      <c r="N124" s="165"/>
      <c r="O124" s="165"/>
      <c r="P124" s="28" t="str">
        <f>IF(M124="","",IF(M124="due pilastri di coltello",2,IF(M124="un pilastro di coltello",1,0)))</f>
        <v/>
      </c>
    </row>
    <row r="125" spans="1:19">
      <c r="A125" s="10" t="str">
        <f>IF(B124="a spessore","momento da  sisma trascurabile","")</f>
        <v/>
      </c>
      <c r="B125" s="17"/>
      <c r="D125" s="10" t="str">
        <f>IF(A125&lt;&gt;"","",IF(AND(G124="più corta delle altre",P124&gt;0),"il momento da sisma può essere maggiore delle previsioni",IF(AND(G124="più lunga delle altre",P124&gt;0),"il momento da sisma è probabilmente minore delle previsioni", "")))</f>
        <v/>
      </c>
      <c r="M125" s="10" t="str">
        <f>IF(P124=0,"il momento da sisma è meno rilevante","")</f>
        <v/>
      </c>
    </row>
    <row r="126" spans="1:19">
      <c r="F126" s="4" t="s">
        <v>112</v>
      </c>
      <c r="G126" s="1" t="s">
        <v>125</v>
      </c>
      <c r="H126" s="12"/>
      <c r="I126" s="3" t="s">
        <v>111</v>
      </c>
      <c r="N126" s="4" t="s">
        <v>113</v>
      </c>
      <c r="O126" s="1" t="s">
        <v>121</v>
      </c>
      <c r="P126" s="13"/>
      <c r="Q126" s="1" t="s">
        <v>122</v>
      </c>
      <c r="R126" s="13"/>
    </row>
    <row r="128" spans="1:19" ht="14.25">
      <c r="A128" s="1" t="s">
        <v>50</v>
      </c>
      <c r="B128" s="166" t="s">
        <v>126</v>
      </c>
      <c r="C128" s="167"/>
      <c r="D128" s="167"/>
      <c r="E128" s="166" t="s">
        <v>127</v>
      </c>
      <c r="F128" s="168"/>
      <c r="G128" s="166" t="s">
        <v>123</v>
      </c>
      <c r="H128" s="168"/>
      <c r="I128" s="166" t="s">
        <v>124</v>
      </c>
      <c r="J128" s="168"/>
    </row>
    <row r="129" spans="1:19">
      <c r="B129" s="8" t="s">
        <v>114</v>
      </c>
      <c r="C129" s="1" t="s">
        <v>115</v>
      </c>
      <c r="D129" s="1" t="s">
        <v>116</v>
      </c>
      <c r="E129" s="8" t="s">
        <v>115</v>
      </c>
      <c r="F129" s="1" t="s">
        <v>116</v>
      </c>
      <c r="G129" s="8" t="s">
        <v>115</v>
      </c>
      <c r="H129" s="1" t="s">
        <v>116</v>
      </c>
      <c r="I129" s="8" t="s">
        <v>115</v>
      </c>
      <c r="J129" s="1" t="s">
        <v>116</v>
      </c>
    </row>
    <row r="130" spans="1:19">
      <c r="A130" s="1" t="str">
        <f>CarSoll!$A$11</f>
        <v/>
      </c>
      <c r="B130" s="9" t="str">
        <f>IF(A130="","",IF(H122="",0,IF(H122="x",VLOOKUP(A130,CarSoll!$A$11:$S$19,18,FALSE),VLOOKUP(A130,CarSoll!$A$26:$S$34,18,FALSE))))</f>
        <v/>
      </c>
      <c r="C130" s="7" t="str">
        <f>IF(A130="","",IF(B124="a spessore",0,B130*R122*IF(P124=0,0.3,1)))</f>
        <v/>
      </c>
      <c r="D130" s="7" t="str">
        <f>IF(A130="","",C130*(1-P126))</f>
        <v/>
      </c>
      <c r="E130" s="9" t="str">
        <f>IF(A130="","",H126)</f>
        <v/>
      </c>
      <c r="F130" s="7" t="str">
        <f>IF(A130="","",E130*(1-R126))</f>
        <v/>
      </c>
      <c r="G130" s="9" t="str">
        <f>IF(A130="","",-C130-E130)</f>
        <v/>
      </c>
      <c r="H130" s="7" t="str">
        <f>IF(B130="","",-D130-F130)</f>
        <v/>
      </c>
      <c r="I130" s="9" t="str">
        <f>IF(A130="","",C130-E130)</f>
        <v/>
      </c>
      <c r="J130" s="7" t="str">
        <f>IF(B130="","",D130-F130)</f>
        <v/>
      </c>
    </row>
    <row r="131" spans="1:19">
      <c r="A131" s="1" t="str">
        <f>CarSoll!$A$12</f>
        <v/>
      </c>
      <c r="B131" s="9" t="str">
        <f>IF(A131="","",IF(H122="",0,IF(H122="x",VLOOKUP(A131,CarSoll!$A$11:$S$19,18,FALSE),VLOOKUP(A131,CarSoll!$A$26:$S$34,18,FALSE))))</f>
        <v/>
      </c>
      <c r="C131" s="7" t="str">
        <f>IF(A131="","",IF(B124="a spessore",0,B131*R122*IF(P124=0,0.3,1)))</f>
        <v/>
      </c>
      <c r="D131" s="7" t="str">
        <f>IF(A131="","",C131*(1-P126))</f>
        <v/>
      </c>
      <c r="E131" s="9" t="str">
        <f>IF(A131="","",H126)</f>
        <v/>
      </c>
      <c r="F131" s="7" t="str">
        <f>IF(A131="","",E131*(1-R126))</f>
        <v/>
      </c>
      <c r="G131" s="9" t="str">
        <f t="shared" ref="G131:G137" si="24">IF(A131="","",-C131-E131)</f>
        <v/>
      </c>
      <c r="H131" s="7" t="str">
        <f t="shared" ref="H131:H137" si="25">IF(B131="","",-D131-F131)</f>
        <v/>
      </c>
      <c r="I131" s="9" t="str">
        <f t="shared" ref="I131:I137" si="26">IF(A131="","",C131-E131)</f>
        <v/>
      </c>
      <c r="J131" s="7" t="str">
        <f t="shared" ref="J131:J137" si="27">IF(B131="","",D131-F131)</f>
        <v/>
      </c>
    </row>
    <row r="132" spans="1:19">
      <c r="A132" s="1" t="str">
        <f>CarSoll!$A$13</f>
        <v/>
      </c>
      <c r="B132" s="9" t="str">
        <f>IF(A132="","",IF(H122="",0,IF(H122="x",VLOOKUP(A132,CarSoll!$A$11:$S$19,18,FALSE),VLOOKUP(A132,CarSoll!$A$26:$S$34,18,FALSE))))</f>
        <v/>
      </c>
      <c r="C132" s="7" t="str">
        <f>IF(A132="","",IF(B124="a spessore",0,B132*R122*IF(P124=0,0.3,1)))</f>
        <v/>
      </c>
      <c r="D132" s="7" t="str">
        <f>IF(A132="","",C132*(1-P126))</f>
        <v/>
      </c>
      <c r="E132" s="9" t="str">
        <f>IF(A132="","",H126)</f>
        <v/>
      </c>
      <c r="F132" s="7" t="str">
        <f>IF(A132="","",E132*(1-R126))</f>
        <v/>
      </c>
      <c r="G132" s="9" t="str">
        <f t="shared" si="24"/>
        <v/>
      </c>
      <c r="H132" s="7" t="str">
        <f t="shared" si="25"/>
        <v/>
      </c>
      <c r="I132" s="9" t="str">
        <f t="shared" si="26"/>
        <v/>
      </c>
      <c r="J132" s="7" t="str">
        <f t="shared" si="27"/>
        <v/>
      </c>
    </row>
    <row r="133" spans="1:19">
      <c r="A133" s="1">
        <f>CarSoll!$A$14</f>
        <v>5</v>
      </c>
      <c r="B133" s="9">
        <f>IF(A133="","",IF(H122="",0,IF(H122="x",VLOOKUP(A133,CarSoll!$A$11:$S$19,18,FALSE),VLOOKUP(A133,CarSoll!$A$26:$S$34,18,FALSE))))</f>
        <v>0</v>
      </c>
      <c r="C133" s="7">
        <f>IF(A133="","",IF(B124="a spessore",0,B133*R122*IF(P124=0,0.3,1)))</f>
        <v>0</v>
      </c>
      <c r="D133" s="7">
        <f>IF(A133="","",C133*(1-P126))</f>
        <v>0</v>
      </c>
      <c r="E133" s="9">
        <f>IF(A133="","",H126)</f>
        <v>0</v>
      </c>
      <c r="F133" s="7">
        <f>IF(A133="","",E133*(1-R126))</f>
        <v>0</v>
      </c>
      <c r="G133" s="9">
        <f t="shared" si="24"/>
        <v>0</v>
      </c>
      <c r="H133" s="7">
        <f t="shared" si="25"/>
        <v>0</v>
      </c>
      <c r="I133" s="9">
        <f t="shared" si="26"/>
        <v>0</v>
      </c>
      <c r="J133" s="7">
        <f t="shared" si="27"/>
        <v>0</v>
      </c>
    </row>
    <row r="134" spans="1:19">
      <c r="A134" s="1">
        <f>CarSoll!$A$15</f>
        <v>4</v>
      </c>
      <c r="B134" s="9">
        <f>IF(A134="","",IF(H122="",0,IF(H122="x",VLOOKUP(A134,CarSoll!$A$11:$S$19,18,FALSE),VLOOKUP(A134,CarSoll!$A$26:$S$34,18,FALSE))))</f>
        <v>0</v>
      </c>
      <c r="C134" s="7">
        <f>IF(A134="","",IF(B124="a spessore",0,B134*R122*IF(P124=0,0.3,1)))</f>
        <v>0</v>
      </c>
      <c r="D134" s="7">
        <f>IF(A134="","",C134*(1-P126))</f>
        <v>0</v>
      </c>
      <c r="E134" s="9">
        <f>IF(A134="","",H126)</f>
        <v>0</v>
      </c>
      <c r="F134" s="7">
        <f>IF(A134="","",E134*(1-R126))</f>
        <v>0</v>
      </c>
      <c r="G134" s="9">
        <f t="shared" si="24"/>
        <v>0</v>
      </c>
      <c r="H134" s="7">
        <f t="shared" si="25"/>
        <v>0</v>
      </c>
      <c r="I134" s="9">
        <f t="shared" si="26"/>
        <v>0</v>
      </c>
      <c r="J134" s="7">
        <f t="shared" si="27"/>
        <v>0</v>
      </c>
      <c r="L134" s="29" t="s">
        <v>152</v>
      </c>
    </row>
    <row r="135" spans="1:19">
      <c r="A135" s="1">
        <f>CarSoll!$A$16</f>
        <v>3</v>
      </c>
      <c r="B135" s="9">
        <f>IF(A135="","",IF(H122="",0,IF(H122="x",VLOOKUP(A135,CarSoll!$A$11:$S$19,18,FALSE),VLOOKUP(A135,CarSoll!$A$26:$S$34,18,FALSE))))</f>
        <v>0</v>
      </c>
      <c r="C135" s="7">
        <f>IF(A135="","",IF(B124="a spessore",0,B135*R122*IF(P124=0,0.3,1)))</f>
        <v>0</v>
      </c>
      <c r="D135" s="7">
        <f>IF(A135="","",C135*(1-P126))</f>
        <v>0</v>
      </c>
      <c r="E135" s="9">
        <f>IF(A135="","",H126)</f>
        <v>0</v>
      </c>
      <c r="F135" s="7">
        <f>IF(A135="","",E135*(1-R126))</f>
        <v>0</v>
      </c>
      <c r="G135" s="9">
        <f t="shared" si="24"/>
        <v>0</v>
      </c>
      <c r="H135" s="7">
        <f t="shared" si="25"/>
        <v>0</v>
      </c>
      <c r="I135" s="9">
        <f t="shared" si="26"/>
        <v>0</v>
      </c>
      <c r="J135" s="7">
        <f t="shared" si="27"/>
        <v>0</v>
      </c>
      <c r="L135" s="163"/>
      <c r="M135" s="163"/>
      <c r="N135" s="163"/>
      <c r="O135" s="163"/>
      <c r="P135" s="163"/>
      <c r="Q135" s="163"/>
      <c r="R135" s="163"/>
    </row>
    <row r="136" spans="1:19">
      <c r="A136" s="1">
        <f>CarSoll!$A$17</f>
        <v>2</v>
      </c>
      <c r="B136" s="9">
        <f>IF(A136="","",IF(H122="",0,IF(H122="x",VLOOKUP(A136,CarSoll!$A$11:$S$19,18,FALSE),VLOOKUP(A136,CarSoll!$A$26:$S$34,18,FALSE))))</f>
        <v>0</v>
      </c>
      <c r="C136" s="7">
        <f>IF(A136="","",IF(B124="a spessore",0,B136*R122*IF(P124=0,0.3,1)))</f>
        <v>0</v>
      </c>
      <c r="D136" s="7">
        <f>IF(A136="","",C136*(1-P126))</f>
        <v>0</v>
      </c>
      <c r="E136" s="9">
        <f>IF(A136="","",H126)</f>
        <v>0</v>
      </c>
      <c r="F136" s="7">
        <f>IF(A136="","",E136*(1-R126))</f>
        <v>0</v>
      </c>
      <c r="G136" s="9">
        <f t="shared" si="24"/>
        <v>0</v>
      </c>
      <c r="H136" s="7">
        <f t="shared" si="25"/>
        <v>0</v>
      </c>
      <c r="I136" s="9">
        <f t="shared" si="26"/>
        <v>0</v>
      </c>
      <c r="J136" s="7">
        <f t="shared" si="27"/>
        <v>0</v>
      </c>
      <c r="L136" s="163"/>
      <c r="M136" s="163"/>
      <c r="N136" s="163"/>
      <c r="O136" s="163"/>
      <c r="P136" s="163"/>
      <c r="Q136" s="163"/>
      <c r="R136" s="163"/>
    </row>
    <row r="137" spans="1:19">
      <c r="A137" s="1">
        <f>CarSoll!$A$18</f>
        <v>1</v>
      </c>
      <c r="B137" s="9">
        <f>IF(A137="","",IF(H122="",0,IF(H122="x",VLOOKUP(A137,CarSoll!$A$11:$S$19,18,FALSE),VLOOKUP(A137,CarSoll!$A$26:$S$34,18,FALSE))))</f>
        <v>0</v>
      </c>
      <c r="C137" s="7">
        <f>IF(A137="","",IF(B124="a spessore",0,B137*R122*IF(P124=0,0.3,1)))</f>
        <v>0</v>
      </c>
      <c r="D137" s="7">
        <f>IF(A137="","",C137*(1-P126))</f>
        <v>0</v>
      </c>
      <c r="E137" s="9">
        <f>IF(A137="","",H126)</f>
        <v>0</v>
      </c>
      <c r="F137" s="7">
        <f>IF(A137="","",E137*(1-R126))</f>
        <v>0</v>
      </c>
      <c r="G137" s="9">
        <f t="shared" si="24"/>
        <v>0</v>
      </c>
      <c r="H137" s="7">
        <f t="shared" si="25"/>
        <v>0</v>
      </c>
      <c r="I137" s="9">
        <f t="shared" si="26"/>
        <v>0</v>
      </c>
      <c r="J137" s="7">
        <f t="shared" si="27"/>
        <v>0</v>
      </c>
      <c r="L137" s="163"/>
      <c r="M137" s="163"/>
      <c r="N137" s="163"/>
      <c r="O137" s="163"/>
      <c r="P137" s="163"/>
      <c r="Q137" s="163"/>
      <c r="R137" s="163"/>
    </row>
    <row r="138" spans="1:19">
      <c r="B138" s="6"/>
      <c r="E138" s="9" t="str">
        <f>IF(A138="","",#REF!)</f>
        <v/>
      </c>
      <c r="F138" s="7" t="str">
        <f>IF(A138="","",E138*(1-#REF!))</f>
        <v/>
      </c>
      <c r="G138" s="6"/>
      <c r="I138" s="6"/>
    </row>
    <row r="139" spans="1:19" ht="13.15">
      <c r="G139" s="18" t="s">
        <v>117</v>
      </c>
      <c r="H139" s="19" t="s">
        <v>133</v>
      </c>
    </row>
    <row r="140" spans="1:19">
      <c r="A140" s="20"/>
      <c r="B140" s="20"/>
      <c r="C140" s="20"/>
      <c r="D140" s="20"/>
      <c r="E140" s="20"/>
      <c r="F140" s="20"/>
      <c r="G140" s="21"/>
      <c r="H140" s="22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</row>
    <row r="142" spans="1:19" ht="13.15">
      <c r="A142" s="2" t="s">
        <v>104</v>
      </c>
      <c r="B142" s="14"/>
      <c r="G142" s="4" t="s">
        <v>105</v>
      </c>
      <c r="H142" s="27"/>
      <c r="K142" s="4" t="s">
        <v>106</v>
      </c>
      <c r="L142" s="164"/>
      <c r="M142" s="164"/>
      <c r="N142" s="164"/>
      <c r="O142" s="165"/>
      <c r="Q142" s="4" t="s">
        <v>108</v>
      </c>
      <c r="R142" s="5"/>
    </row>
    <row r="143" spans="1:19">
      <c r="R143" s="10" t="str">
        <f>IF(OR(AND(L142="molto vicino al baricentro",R142&gt;1.05),AND(L142="distanza intermedia dal baricentro",OR(R142&lt;1.05,R142&gt;1.15)),AND(L142="molto distante dal baricentro",R142&lt;1.15)),"sei sicuro?","")</f>
        <v/>
      </c>
    </row>
    <row r="144" spans="1:19">
      <c r="A144" s="4" t="s">
        <v>109</v>
      </c>
      <c r="B144" s="164"/>
      <c r="C144" s="165"/>
      <c r="F144" s="4" t="s">
        <v>110</v>
      </c>
      <c r="G144" s="164"/>
      <c r="H144" s="165"/>
      <c r="L144" s="4" t="s">
        <v>107</v>
      </c>
      <c r="M144" s="164"/>
      <c r="N144" s="165"/>
      <c r="O144" s="165"/>
      <c r="P144" s="28" t="str">
        <f>IF(M144="","",IF(M144="due pilastri di coltello",2,IF(M144="un pilastro di coltello",1,0)))</f>
        <v/>
      </c>
    </row>
    <row r="145" spans="1:19">
      <c r="A145" s="10" t="str">
        <f>IF(B144="a spessore","momento da  sisma trascurabile","")</f>
        <v/>
      </c>
      <c r="B145" s="17"/>
      <c r="D145" s="10" t="str">
        <f>IF(A145&lt;&gt;"","",IF(AND(G144="più corta delle altre",P144&gt;0),"il momento da sisma può essere maggiore delle previsioni",IF(AND(G144="più lunga delle altre",P144&gt;0),"il momento da sisma è probabilmente minore delle previsioni", "")))</f>
        <v/>
      </c>
      <c r="M145" s="10" t="str">
        <f>IF(P144=0,"il momento da sisma è meno rilevante","")</f>
        <v/>
      </c>
    </row>
    <row r="146" spans="1:19">
      <c r="F146" s="4" t="s">
        <v>112</v>
      </c>
      <c r="G146" s="1" t="s">
        <v>125</v>
      </c>
      <c r="H146" s="12"/>
      <c r="I146" s="3" t="s">
        <v>111</v>
      </c>
      <c r="N146" s="4" t="s">
        <v>113</v>
      </c>
      <c r="O146" s="1" t="s">
        <v>121</v>
      </c>
      <c r="P146" s="13"/>
      <c r="Q146" s="1" t="s">
        <v>122</v>
      </c>
      <c r="R146" s="13"/>
    </row>
    <row r="148" spans="1:19" ht="14.25">
      <c r="A148" s="1" t="s">
        <v>50</v>
      </c>
      <c r="B148" s="166" t="s">
        <v>126</v>
      </c>
      <c r="C148" s="167"/>
      <c r="D148" s="167"/>
      <c r="E148" s="166" t="s">
        <v>127</v>
      </c>
      <c r="F148" s="168"/>
      <c r="G148" s="166" t="s">
        <v>123</v>
      </c>
      <c r="H148" s="168"/>
      <c r="I148" s="166" t="s">
        <v>124</v>
      </c>
      <c r="J148" s="168"/>
    </row>
    <row r="149" spans="1:19">
      <c r="B149" s="8" t="s">
        <v>114</v>
      </c>
      <c r="C149" s="1" t="s">
        <v>115</v>
      </c>
      <c r="D149" s="1" t="s">
        <v>116</v>
      </c>
      <c r="E149" s="8" t="s">
        <v>115</v>
      </c>
      <c r="F149" s="1" t="s">
        <v>116</v>
      </c>
      <c r="G149" s="8" t="s">
        <v>115</v>
      </c>
      <c r="H149" s="1" t="s">
        <v>116</v>
      </c>
      <c r="I149" s="8" t="s">
        <v>115</v>
      </c>
      <c r="J149" s="1" t="s">
        <v>116</v>
      </c>
    </row>
    <row r="150" spans="1:19">
      <c r="A150" s="1" t="str">
        <f>CarSoll!$A$11</f>
        <v/>
      </c>
      <c r="B150" s="9" t="str">
        <f>IF(A150="","",IF(H142="",0,IF(H142="x",VLOOKUP(A150,CarSoll!$A$11:$S$19,18,FALSE),VLOOKUP(A150,CarSoll!$A$26:$S$34,18,FALSE))))</f>
        <v/>
      </c>
      <c r="C150" s="7" t="str">
        <f>IF(A150="","",IF(B144="a spessore",0,B150*R142*IF(P144=0,0.3,1)))</f>
        <v/>
      </c>
      <c r="D150" s="7" t="str">
        <f>IF(A150="","",C150*(1-P146))</f>
        <v/>
      </c>
      <c r="E150" s="9" t="str">
        <f>IF(A150="","",H146)</f>
        <v/>
      </c>
      <c r="F150" s="7" t="str">
        <f>IF(A150="","",E150*(1-R146))</f>
        <v/>
      </c>
      <c r="G150" s="9" t="str">
        <f>IF(A150="","",-C150-E150)</f>
        <v/>
      </c>
      <c r="H150" s="7" t="str">
        <f>IF(B150="","",-D150-F150)</f>
        <v/>
      </c>
      <c r="I150" s="9" t="str">
        <f>IF(A150="","",C150-E150)</f>
        <v/>
      </c>
      <c r="J150" s="7" t="str">
        <f>IF(B150="","",D150-F150)</f>
        <v/>
      </c>
    </row>
    <row r="151" spans="1:19">
      <c r="A151" s="1" t="str">
        <f>CarSoll!$A$12</f>
        <v/>
      </c>
      <c r="B151" s="9" t="str">
        <f>IF(A151="","",IF(H142="",0,IF(H142="x",VLOOKUP(A151,CarSoll!$A$11:$S$19,18,FALSE),VLOOKUP(A151,CarSoll!$A$26:$S$34,18,FALSE))))</f>
        <v/>
      </c>
      <c r="C151" s="7" t="str">
        <f>IF(A151="","",IF(B144="a spessore",0,B151*R142*IF(P144=0,0.3,1)))</f>
        <v/>
      </c>
      <c r="D151" s="7" t="str">
        <f>IF(A151="","",C151*(1-P146))</f>
        <v/>
      </c>
      <c r="E151" s="9" t="str">
        <f>IF(A151="","",H146)</f>
        <v/>
      </c>
      <c r="F151" s="7" t="str">
        <f>IF(A151="","",E151*(1-R146))</f>
        <v/>
      </c>
      <c r="G151" s="9" t="str">
        <f t="shared" ref="G151:G157" si="28">IF(A151="","",-C151-E151)</f>
        <v/>
      </c>
      <c r="H151" s="7" t="str">
        <f t="shared" ref="H151:H157" si="29">IF(B151="","",-D151-F151)</f>
        <v/>
      </c>
      <c r="I151" s="9" t="str">
        <f t="shared" ref="I151:I157" si="30">IF(A151="","",C151-E151)</f>
        <v/>
      </c>
      <c r="J151" s="7" t="str">
        <f t="shared" ref="J151:J157" si="31">IF(B151="","",D151-F151)</f>
        <v/>
      </c>
    </row>
    <row r="152" spans="1:19">
      <c r="A152" s="1" t="str">
        <f>CarSoll!$A$13</f>
        <v/>
      </c>
      <c r="B152" s="9" t="str">
        <f>IF(A152="","",IF(H142="",0,IF(H142="x",VLOOKUP(A152,CarSoll!$A$11:$S$19,18,FALSE),VLOOKUP(A152,CarSoll!$A$26:$S$34,18,FALSE))))</f>
        <v/>
      </c>
      <c r="C152" s="7" t="str">
        <f>IF(A152="","",IF(B144="a spessore",0,B152*R142*IF(P144=0,0.3,1)))</f>
        <v/>
      </c>
      <c r="D152" s="7" t="str">
        <f>IF(A152="","",C152*(1-P146))</f>
        <v/>
      </c>
      <c r="E152" s="9" t="str">
        <f>IF(A152="","",H146)</f>
        <v/>
      </c>
      <c r="F152" s="7" t="str">
        <f>IF(A152="","",E152*(1-R146))</f>
        <v/>
      </c>
      <c r="G152" s="9" t="str">
        <f t="shared" si="28"/>
        <v/>
      </c>
      <c r="H152" s="7" t="str">
        <f t="shared" si="29"/>
        <v/>
      </c>
      <c r="I152" s="9" t="str">
        <f t="shared" si="30"/>
        <v/>
      </c>
      <c r="J152" s="7" t="str">
        <f t="shared" si="31"/>
        <v/>
      </c>
    </row>
    <row r="153" spans="1:19">
      <c r="A153" s="1">
        <f>CarSoll!$A$14</f>
        <v>5</v>
      </c>
      <c r="B153" s="9">
        <f>IF(A153="","",IF(H142="",0,IF(H142="x",VLOOKUP(A153,CarSoll!$A$11:$S$19,18,FALSE),VLOOKUP(A153,CarSoll!$A$26:$S$34,18,FALSE))))</f>
        <v>0</v>
      </c>
      <c r="C153" s="7">
        <f>IF(A153="","",IF(B144="a spessore",0,B153*R142*IF(P144=0,0.3,1)))</f>
        <v>0</v>
      </c>
      <c r="D153" s="7">
        <f>IF(A153="","",C153*(1-P146))</f>
        <v>0</v>
      </c>
      <c r="E153" s="9">
        <f>IF(A153="","",H146)</f>
        <v>0</v>
      </c>
      <c r="F153" s="7">
        <f>IF(A153="","",E153*(1-R146))</f>
        <v>0</v>
      </c>
      <c r="G153" s="9">
        <f t="shared" si="28"/>
        <v>0</v>
      </c>
      <c r="H153" s="7">
        <f t="shared" si="29"/>
        <v>0</v>
      </c>
      <c r="I153" s="9">
        <f t="shared" si="30"/>
        <v>0</v>
      </c>
      <c r="J153" s="7">
        <f t="shared" si="31"/>
        <v>0</v>
      </c>
    </row>
    <row r="154" spans="1:19">
      <c r="A154" s="1">
        <f>CarSoll!$A$15</f>
        <v>4</v>
      </c>
      <c r="B154" s="9">
        <f>IF(A154="","",IF(H142="",0,IF(H142="x",VLOOKUP(A154,CarSoll!$A$11:$S$19,18,FALSE),VLOOKUP(A154,CarSoll!$A$26:$S$34,18,FALSE))))</f>
        <v>0</v>
      </c>
      <c r="C154" s="7">
        <f>IF(A154="","",IF(B144="a spessore",0,B154*R142*IF(P144=0,0.3,1)))</f>
        <v>0</v>
      </c>
      <c r="D154" s="7">
        <f>IF(A154="","",C154*(1-P146))</f>
        <v>0</v>
      </c>
      <c r="E154" s="9">
        <f>IF(A154="","",H146)</f>
        <v>0</v>
      </c>
      <c r="F154" s="7">
        <f>IF(A154="","",E154*(1-R146))</f>
        <v>0</v>
      </c>
      <c r="G154" s="9">
        <f t="shared" si="28"/>
        <v>0</v>
      </c>
      <c r="H154" s="7">
        <f t="shared" si="29"/>
        <v>0</v>
      </c>
      <c r="I154" s="9">
        <f t="shared" si="30"/>
        <v>0</v>
      </c>
      <c r="J154" s="7">
        <f t="shared" si="31"/>
        <v>0</v>
      </c>
      <c r="L154" s="29" t="s">
        <v>152</v>
      </c>
    </row>
    <row r="155" spans="1:19">
      <c r="A155" s="1">
        <f>CarSoll!$A$16</f>
        <v>3</v>
      </c>
      <c r="B155" s="9">
        <f>IF(A155="","",IF(H142="",0,IF(H142="x",VLOOKUP(A155,CarSoll!$A$11:$S$19,18,FALSE),VLOOKUP(A155,CarSoll!$A$26:$S$34,18,FALSE))))</f>
        <v>0</v>
      </c>
      <c r="C155" s="7">
        <f>IF(A155="","",IF(B144="a spessore",0,B155*R142*IF(P144=0,0.3,1)))</f>
        <v>0</v>
      </c>
      <c r="D155" s="7">
        <f>IF(A155="","",C155*(1-P146))</f>
        <v>0</v>
      </c>
      <c r="E155" s="9">
        <f>IF(A155="","",H146)</f>
        <v>0</v>
      </c>
      <c r="F155" s="7">
        <f>IF(A155="","",E155*(1-R146))</f>
        <v>0</v>
      </c>
      <c r="G155" s="9">
        <f t="shared" si="28"/>
        <v>0</v>
      </c>
      <c r="H155" s="7">
        <f t="shared" si="29"/>
        <v>0</v>
      </c>
      <c r="I155" s="9">
        <f t="shared" si="30"/>
        <v>0</v>
      </c>
      <c r="J155" s="7">
        <f t="shared" si="31"/>
        <v>0</v>
      </c>
      <c r="L155" s="163"/>
      <c r="M155" s="163"/>
      <c r="N155" s="163"/>
      <c r="O155" s="163"/>
      <c r="P155" s="163"/>
      <c r="Q155" s="163"/>
      <c r="R155" s="163"/>
    </row>
    <row r="156" spans="1:19">
      <c r="A156" s="1">
        <f>CarSoll!$A$17</f>
        <v>2</v>
      </c>
      <c r="B156" s="9">
        <f>IF(A156="","",IF(H142="",0,IF(H142="x",VLOOKUP(A156,CarSoll!$A$11:$S$19,18,FALSE),VLOOKUP(A156,CarSoll!$A$26:$S$34,18,FALSE))))</f>
        <v>0</v>
      </c>
      <c r="C156" s="7">
        <f>IF(A156="","",IF(B144="a spessore",0,B156*R142*IF(P144=0,0.3,1)))</f>
        <v>0</v>
      </c>
      <c r="D156" s="7">
        <f>IF(A156="","",C156*(1-P146))</f>
        <v>0</v>
      </c>
      <c r="E156" s="9">
        <f>IF(A156="","",H146)</f>
        <v>0</v>
      </c>
      <c r="F156" s="7">
        <f>IF(A156="","",E156*(1-R146))</f>
        <v>0</v>
      </c>
      <c r="G156" s="9">
        <f t="shared" si="28"/>
        <v>0</v>
      </c>
      <c r="H156" s="7">
        <f t="shared" si="29"/>
        <v>0</v>
      </c>
      <c r="I156" s="9">
        <f t="shared" si="30"/>
        <v>0</v>
      </c>
      <c r="J156" s="7">
        <f t="shared" si="31"/>
        <v>0</v>
      </c>
      <c r="L156" s="163"/>
      <c r="M156" s="163"/>
      <c r="N156" s="163"/>
      <c r="O156" s="163"/>
      <c r="P156" s="163"/>
      <c r="Q156" s="163"/>
      <c r="R156" s="163"/>
    </row>
    <row r="157" spans="1:19">
      <c r="A157" s="1">
        <f>CarSoll!$A$18</f>
        <v>1</v>
      </c>
      <c r="B157" s="9">
        <f>IF(A157="","",IF(H142="",0,IF(H142="x",VLOOKUP(A157,CarSoll!$A$11:$S$19,18,FALSE),VLOOKUP(A157,CarSoll!$A$26:$S$34,18,FALSE))))</f>
        <v>0</v>
      </c>
      <c r="C157" s="7">
        <f>IF(A157="","",IF(B144="a spessore",0,B157*R142*IF(P144=0,0.3,1)))</f>
        <v>0</v>
      </c>
      <c r="D157" s="7">
        <f>IF(A157="","",C157*(1-P146))</f>
        <v>0</v>
      </c>
      <c r="E157" s="9">
        <f>IF(A157="","",H146)</f>
        <v>0</v>
      </c>
      <c r="F157" s="7">
        <f>IF(A157="","",E157*(1-R146))</f>
        <v>0</v>
      </c>
      <c r="G157" s="9">
        <f t="shared" si="28"/>
        <v>0</v>
      </c>
      <c r="H157" s="7">
        <f t="shared" si="29"/>
        <v>0</v>
      </c>
      <c r="I157" s="9">
        <f t="shared" si="30"/>
        <v>0</v>
      </c>
      <c r="J157" s="7">
        <f t="shared" si="31"/>
        <v>0</v>
      </c>
      <c r="L157" s="163"/>
      <c r="M157" s="163"/>
      <c r="N157" s="163"/>
      <c r="O157" s="163"/>
      <c r="P157" s="163"/>
      <c r="Q157" s="163"/>
      <c r="R157" s="163"/>
    </row>
    <row r="158" spans="1:19">
      <c r="B158" s="6"/>
      <c r="E158" s="9" t="str">
        <f>IF(A158="","",#REF!)</f>
        <v/>
      </c>
      <c r="F158" s="7" t="str">
        <f>IF(A158="","",E158*(1-#REF!))</f>
        <v/>
      </c>
      <c r="G158" s="6"/>
      <c r="I158" s="6"/>
    </row>
    <row r="159" spans="1:19" ht="13.15">
      <c r="G159" s="18" t="s">
        <v>117</v>
      </c>
      <c r="H159" s="19" t="s">
        <v>133</v>
      </c>
    </row>
    <row r="160" spans="1:19">
      <c r="A160" s="20"/>
      <c r="B160" s="20"/>
      <c r="C160" s="20"/>
      <c r="D160" s="20"/>
      <c r="E160" s="20"/>
      <c r="F160" s="20"/>
      <c r="G160" s="21"/>
      <c r="H160" s="22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</row>
    <row r="162" spans="1:18" ht="13.15">
      <c r="A162" s="2" t="s">
        <v>104</v>
      </c>
      <c r="B162" s="14"/>
      <c r="G162" s="4" t="s">
        <v>105</v>
      </c>
      <c r="H162" s="27"/>
      <c r="K162" s="4" t="s">
        <v>106</v>
      </c>
      <c r="L162" s="164"/>
      <c r="M162" s="164"/>
      <c r="N162" s="164"/>
      <c r="O162" s="165"/>
      <c r="Q162" s="4" t="s">
        <v>108</v>
      </c>
      <c r="R162" s="5"/>
    </row>
    <row r="163" spans="1:18">
      <c r="R163" s="10" t="str">
        <f>IF(OR(AND(L162="molto vicino al baricentro",R162&gt;1.05),AND(L162="distanza intermedia dal baricentro",OR(R162&lt;1.05,R162&gt;1.15)),AND(L162="molto distante dal baricentro",R162&lt;1.15)),"sei sicuro?","")</f>
        <v/>
      </c>
    </row>
    <row r="164" spans="1:18">
      <c r="A164" s="4" t="s">
        <v>109</v>
      </c>
      <c r="B164" s="164"/>
      <c r="C164" s="165"/>
      <c r="F164" s="4" t="s">
        <v>110</v>
      </c>
      <c r="G164" s="164"/>
      <c r="H164" s="165"/>
      <c r="L164" s="4" t="s">
        <v>107</v>
      </c>
      <c r="M164" s="164"/>
      <c r="N164" s="165"/>
      <c r="O164" s="165"/>
      <c r="P164" s="28" t="str">
        <f>IF(M164="","",IF(M164="due pilastri di coltello",2,IF(M164="un pilastro di coltello",1,0)))</f>
        <v/>
      </c>
    </row>
    <row r="165" spans="1:18">
      <c r="A165" s="10" t="str">
        <f>IF(B164="a spessore","momento da  sisma trascurabile","")</f>
        <v/>
      </c>
      <c r="B165" s="17"/>
      <c r="D165" s="10" t="str">
        <f>IF(A165&lt;&gt;"","",IF(AND(G164="più corta delle altre",P164&gt;0),"il momento da sisma può essere maggiore delle previsioni",IF(AND(G164="più lunga delle altre",P164&gt;0),"il momento da sisma è probabilmente minore delle previsioni", "")))</f>
        <v/>
      </c>
      <c r="M165" s="10" t="str">
        <f>IF(P164=0,"il momento da sisma è meno rilevante","")</f>
        <v/>
      </c>
    </row>
    <row r="166" spans="1:18">
      <c r="F166" s="4" t="s">
        <v>112</v>
      </c>
      <c r="G166" s="1" t="s">
        <v>125</v>
      </c>
      <c r="H166" s="12"/>
      <c r="I166" s="3" t="s">
        <v>111</v>
      </c>
      <c r="N166" s="4" t="s">
        <v>113</v>
      </c>
      <c r="O166" s="1" t="s">
        <v>121</v>
      </c>
      <c r="P166" s="13"/>
      <c r="Q166" s="1" t="s">
        <v>122</v>
      </c>
      <c r="R166" s="13"/>
    </row>
    <row r="168" spans="1:18" ht="14.25">
      <c r="A168" s="1" t="s">
        <v>50</v>
      </c>
      <c r="B168" s="166" t="s">
        <v>126</v>
      </c>
      <c r="C168" s="167"/>
      <c r="D168" s="167"/>
      <c r="E168" s="166" t="s">
        <v>127</v>
      </c>
      <c r="F168" s="168"/>
      <c r="G168" s="166" t="s">
        <v>123</v>
      </c>
      <c r="H168" s="168"/>
      <c r="I168" s="166" t="s">
        <v>124</v>
      </c>
      <c r="J168" s="168"/>
    </row>
    <row r="169" spans="1:18">
      <c r="B169" s="8" t="s">
        <v>114</v>
      </c>
      <c r="C169" s="1" t="s">
        <v>115</v>
      </c>
      <c r="D169" s="1" t="s">
        <v>116</v>
      </c>
      <c r="E169" s="8" t="s">
        <v>115</v>
      </c>
      <c r="F169" s="1" t="s">
        <v>116</v>
      </c>
      <c r="G169" s="8" t="s">
        <v>115</v>
      </c>
      <c r="H169" s="1" t="s">
        <v>116</v>
      </c>
      <c r="I169" s="8" t="s">
        <v>115</v>
      </c>
      <c r="J169" s="1" t="s">
        <v>116</v>
      </c>
    </row>
    <row r="170" spans="1:18">
      <c r="A170" s="1" t="str">
        <f>CarSoll!$A$11</f>
        <v/>
      </c>
      <c r="B170" s="9" t="str">
        <f>IF(A170="","",IF(H162="",0,IF(H162="x",VLOOKUP(A170,CarSoll!$A$11:$S$19,18,FALSE),VLOOKUP(A170,CarSoll!$A$26:$S$34,18,FALSE))))</f>
        <v/>
      </c>
      <c r="C170" s="7" t="str">
        <f>IF(A170="","",IF(B164="a spessore",0,B170*R162*IF(P164=0,0.3,1)))</f>
        <v/>
      </c>
      <c r="D170" s="7" t="str">
        <f>IF(A170="","",C170*(1-P166))</f>
        <v/>
      </c>
      <c r="E170" s="9" t="str">
        <f>IF(A170="","",H166)</f>
        <v/>
      </c>
      <c r="F170" s="7" t="str">
        <f>IF(A170="","",E170*(1-R166))</f>
        <v/>
      </c>
      <c r="G170" s="9" t="str">
        <f>IF(A170="","",-C170-E170)</f>
        <v/>
      </c>
      <c r="H170" s="7" t="str">
        <f>IF(B170="","",-D170-F170)</f>
        <v/>
      </c>
      <c r="I170" s="9" t="str">
        <f>IF(A170="","",C170-E170)</f>
        <v/>
      </c>
      <c r="J170" s="7" t="str">
        <f>IF(B170="","",D170-F170)</f>
        <v/>
      </c>
    </row>
    <row r="171" spans="1:18">
      <c r="A171" s="1" t="str">
        <f>CarSoll!$A$12</f>
        <v/>
      </c>
      <c r="B171" s="9" t="str">
        <f>IF(A171="","",IF(H162="",0,IF(H162="x",VLOOKUP(A171,CarSoll!$A$11:$S$19,18,FALSE),VLOOKUP(A171,CarSoll!$A$26:$S$34,18,FALSE))))</f>
        <v/>
      </c>
      <c r="C171" s="7" t="str">
        <f>IF(A171="","",IF(B164="a spessore",0,B171*R162*IF(P164=0,0.3,1)))</f>
        <v/>
      </c>
      <c r="D171" s="7" t="str">
        <f>IF(A171="","",C171*(1-P166))</f>
        <v/>
      </c>
      <c r="E171" s="9" t="str">
        <f>IF(A171="","",H166)</f>
        <v/>
      </c>
      <c r="F171" s="7" t="str">
        <f>IF(A171="","",E171*(1-R166))</f>
        <v/>
      </c>
      <c r="G171" s="9" t="str">
        <f t="shared" ref="G171:G177" si="32">IF(A171="","",-C171-E171)</f>
        <v/>
      </c>
      <c r="H171" s="7" t="str">
        <f t="shared" ref="H171:H177" si="33">IF(B171="","",-D171-F171)</f>
        <v/>
      </c>
      <c r="I171" s="9" t="str">
        <f t="shared" ref="I171:I177" si="34">IF(A171="","",C171-E171)</f>
        <v/>
      </c>
      <c r="J171" s="7" t="str">
        <f t="shared" ref="J171:J177" si="35">IF(B171="","",D171-F171)</f>
        <v/>
      </c>
    </row>
    <row r="172" spans="1:18">
      <c r="A172" s="1" t="str">
        <f>CarSoll!$A$13</f>
        <v/>
      </c>
      <c r="B172" s="9" t="str">
        <f>IF(A172="","",IF(H162="",0,IF(H162="x",VLOOKUP(A172,CarSoll!$A$11:$S$19,18,FALSE),VLOOKUP(A172,CarSoll!$A$26:$S$34,18,FALSE))))</f>
        <v/>
      </c>
      <c r="C172" s="7" t="str">
        <f>IF(A172="","",IF(B164="a spessore",0,B172*R162*IF(P164=0,0.3,1)))</f>
        <v/>
      </c>
      <c r="D172" s="7" t="str">
        <f>IF(A172="","",C172*(1-P166))</f>
        <v/>
      </c>
      <c r="E172" s="9" t="str">
        <f>IF(A172="","",H166)</f>
        <v/>
      </c>
      <c r="F172" s="7" t="str">
        <f>IF(A172="","",E172*(1-R166))</f>
        <v/>
      </c>
      <c r="G172" s="9" t="str">
        <f t="shared" si="32"/>
        <v/>
      </c>
      <c r="H172" s="7" t="str">
        <f t="shared" si="33"/>
        <v/>
      </c>
      <c r="I172" s="9" t="str">
        <f t="shared" si="34"/>
        <v/>
      </c>
      <c r="J172" s="7" t="str">
        <f t="shared" si="35"/>
        <v/>
      </c>
    </row>
    <row r="173" spans="1:18">
      <c r="A173" s="1">
        <f>CarSoll!$A$14</f>
        <v>5</v>
      </c>
      <c r="B173" s="9">
        <f>IF(A173="","",IF(H162="",0,IF(H162="x",VLOOKUP(A173,CarSoll!$A$11:$S$19,18,FALSE),VLOOKUP(A173,CarSoll!$A$26:$S$34,18,FALSE))))</f>
        <v>0</v>
      </c>
      <c r="C173" s="7">
        <f>IF(A173="","",IF(B164="a spessore",0,B173*R162*IF(P164=0,0.3,1)))</f>
        <v>0</v>
      </c>
      <c r="D173" s="7">
        <f>IF(A173="","",C173*(1-P166))</f>
        <v>0</v>
      </c>
      <c r="E173" s="9">
        <f>IF(A173="","",H166)</f>
        <v>0</v>
      </c>
      <c r="F173" s="7">
        <f>IF(A173="","",E173*(1-R166))</f>
        <v>0</v>
      </c>
      <c r="G173" s="9">
        <f t="shared" si="32"/>
        <v>0</v>
      </c>
      <c r="H173" s="7">
        <f t="shared" si="33"/>
        <v>0</v>
      </c>
      <c r="I173" s="9">
        <f t="shared" si="34"/>
        <v>0</v>
      </c>
      <c r="J173" s="7">
        <f t="shared" si="35"/>
        <v>0</v>
      </c>
    </row>
    <row r="174" spans="1:18">
      <c r="A174" s="1">
        <f>CarSoll!$A$15</f>
        <v>4</v>
      </c>
      <c r="B174" s="9">
        <f>IF(A174="","",IF(H162="",0,IF(H162="x",VLOOKUP(A174,CarSoll!$A$11:$S$19,18,FALSE),VLOOKUP(A174,CarSoll!$A$26:$S$34,18,FALSE))))</f>
        <v>0</v>
      </c>
      <c r="C174" s="7">
        <f>IF(A174="","",IF(B164="a spessore",0,B174*R162*IF(P164=0,0.3,1)))</f>
        <v>0</v>
      </c>
      <c r="D174" s="7">
        <f>IF(A174="","",C174*(1-P166))</f>
        <v>0</v>
      </c>
      <c r="E174" s="9">
        <f>IF(A174="","",H166)</f>
        <v>0</v>
      </c>
      <c r="F174" s="7">
        <f>IF(A174="","",E174*(1-R166))</f>
        <v>0</v>
      </c>
      <c r="G174" s="9">
        <f t="shared" si="32"/>
        <v>0</v>
      </c>
      <c r="H174" s="7">
        <f t="shared" si="33"/>
        <v>0</v>
      </c>
      <c r="I174" s="9">
        <f t="shared" si="34"/>
        <v>0</v>
      </c>
      <c r="J174" s="7">
        <f t="shared" si="35"/>
        <v>0</v>
      </c>
      <c r="L174" s="29" t="s">
        <v>152</v>
      </c>
    </row>
    <row r="175" spans="1:18">
      <c r="A175" s="1">
        <f>CarSoll!$A$16</f>
        <v>3</v>
      </c>
      <c r="B175" s="9">
        <f>IF(A175="","",IF(H162="",0,IF(H162="x",VLOOKUP(A175,CarSoll!$A$11:$S$19,18,FALSE),VLOOKUP(A175,CarSoll!$A$26:$S$34,18,FALSE))))</f>
        <v>0</v>
      </c>
      <c r="C175" s="7">
        <f>IF(A175="","",IF(B164="a spessore",0,B175*R162*IF(P164=0,0.3,1)))</f>
        <v>0</v>
      </c>
      <c r="D175" s="7">
        <f>IF(A175="","",C175*(1-P166))</f>
        <v>0</v>
      </c>
      <c r="E175" s="9">
        <f>IF(A175="","",H166)</f>
        <v>0</v>
      </c>
      <c r="F175" s="7">
        <f>IF(A175="","",E175*(1-R166))</f>
        <v>0</v>
      </c>
      <c r="G175" s="9">
        <f t="shared" si="32"/>
        <v>0</v>
      </c>
      <c r="H175" s="7">
        <f t="shared" si="33"/>
        <v>0</v>
      </c>
      <c r="I175" s="9">
        <f t="shared" si="34"/>
        <v>0</v>
      </c>
      <c r="J175" s="7">
        <f t="shared" si="35"/>
        <v>0</v>
      </c>
      <c r="L175" s="163"/>
      <c r="M175" s="163"/>
      <c r="N175" s="163"/>
      <c r="O175" s="163"/>
      <c r="P175" s="163"/>
      <c r="Q175" s="163"/>
      <c r="R175" s="163"/>
    </row>
    <row r="176" spans="1:18">
      <c r="A176" s="1">
        <f>CarSoll!$A$17</f>
        <v>2</v>
      </c>
      <c r="B176" s="9">
        <f>IF(A176="","",IF(H162="",0,IF(H162="x",VLOOKUP(A176,CarSoll!$A$11:$S$19,18,FALSE),VLOOKUP(A176,CarSoll!$A$26:$S$34,18,FALSE))))</f>
        <v>0</v>
      </c>
      <c r="C176" s="7">
        <f>IF(A176="","",IF(B164="a spessore",0,B176*R162*IF(P164=0,0.3,1)))</f>
        <v>0</v>
      </c>
      <c r="D176" s="7">
        <f>IF(A176="","",C176*(1-P166))</f>
        <v>0</v>
      </c>
      <c r="E176" s="9">
        <f>IF(A176="","",H166)</f>
        <v>0</v>
      </c>
      <c r="F176" s="7">
        <f>IF(A176="","",E176*(1-R166))</f>
        <v>0</v>
      </c>
      <c r="G176" s="9">
        <f t="shared" si="32"/>
        <v>0</v>
      </c>
      <c r="H176" s="7">
        <f t="shared" si="33"/>
        <v>0</v>
      </c>
      <c r="I176" s="9">
        <f t="shared" si="34"/>
        <v>0</v>
      </c>
      <c r="J176" s="7">
        <f t="shared" si="35"/>
        <v>0</v>
      </c>
      <c r="L176" s="163"/>
      <c r="M176" s="163"/>
      <c r="N176" s="163"/>
      <c r="O176" s="163"/>
      <c r="P176" s="163"/>
      <c r="Q176" s="163"/>
      <c r="R176" s="163"/>
    </row>
    <row r="177" spans="1:19">
      <c r="A177" s="1">
        <f>CarSoll!$A$18</f>
        <v>1</v>
      </c>
      <c r="B177" s="9">
        <f>IF(A177="","",IF(H162="",0,IF(H162="x",VLOOKUP(A177,CarSoll!$A$11:$S$19,18,FALSE),VLOOKUP(A177,CarSoll!$A$26:$S$34,18,FALSE))))</f>
        <v>0</v>
      </c>
      <c r="C177" s="7">
        <f>IF(A177="","",IF(B164="a spessore",0,B177*R162*IF(P164=0,0.3,1)))</f>
        <v>0</v>
      </c>
      <c r="D177" s="7">
        <f>IF(A177="","",C177*(1-P166))</f>
        <v>0</v>
      </c>
      <c r="E177" s="9">
        <f>IF(A177="","",H166)</f>
        <v>0</v>
      </c>
      <c r="F177" s="7">
        <f>IF(A177="","",E177*(1-R166))</f>
        <v>0</v>
      </c>
      <c r="G177" s="9">
        <f t="shared" si="32"/>
        <v>0</v>
      </c>
      <c r="H177" s="7">
        <f t="shared" si="33"/>
        <v>0</v>
      </c>
      <c r="I177" s="9">
        <f t="shared" si="34"/>
        <v>0</v>
      </c>
      <c r="J177" s="7">
        <f t="shared" si="35"/>
        <v>0</v>
      </c>
      <c r="L177" s="163"/>
      <c r="M177" s="163"/>
      <c r="N177" s="163"/>
      <c r="O177" s="163"/>
      <c r="P177" s="163"/>
      <c r="Q177" s="163"/>
      <c r="R177" s="163"/>
    </row>
    <row r="178" spans="1:19">
      <c r="B178" s="6"/>
      <c r="E178" s="9" t="str">
        <f>IF(A178="","",#REF!)</f>
        <v/>
      </c>
      <c r="F178" s="7" t="str">
        <f>IF(A178="","",E178*(1-#REF!))</f>
        <v/>
      </c>
      <c r="G178" s="6"/>
      <c r="I178" s="6"/>
    </row>
    <row r="179" spans="1:19" ht="13.15">
      <c r="G179" s="18" t="s">
        <v>117</v>
      </c>
      <c r="H179" s="19" t="s">
        <v>133</v>
      </c>
    </row>
    <row r="180" spans="1:19">
      <c r="A180" s="20"/>
      <c r="B180" s="20"/>
      <c r="C180" s="20"/>
      <c r="D180" s="20"/>
      <c r="E180" s="20"/>
      <c r="F180" s="20"/>
      <c r="G180" s="21"/>
      <c r="H180" s="22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</row>
    <row r="182" spans="1:19" ht="13.15">
      <c r="A182" s="2" t="s">
        <v>104</v>
      </c>
      <c r="B182" s="14"/>
      <c r="G182" s="4" t="s">
        <v>105</v>
      </c>
      <c r="H182" s="27"/>
      <c r="K182" s="4" t="s">
        <v>106</v>
      </c>
      <c r="L182" s="164"/>
      <c r="M182" s="164"/>
      <c r="N182" s="164"/>
      <c r="O182" s="165"/>
      <c r="Q182" s="4" t="s">
        <v>108</v>
      </c>
      <c r="R182" s="5"/>
    </row>
    <row r="183" spans="1:19">
      <c r="R183" s="10" t="str">
        <f>IF(OR(AND(L182="molto vicino al baricentro",R182&gt;1.05),AND(L182="distanza intermedia dal baricentro",OR(R182&lt;1.05,R182&gt;1.15)),AND(L182="molto distante dal baricentro",R182&lt;1.15)),"sei sicuro?","")</f>
        <v/>
      </c>
    </row>
    <row r="184" spans="1:19">
      <c r="A184" s="4" t="s">
        <v>109</v>
      </c>
      <c r="B184" s="164"/>
      <c r="C184" s="165"/>
      <c r="F184" s="4" t="s">
        <v>110</v>
      </c>
      <c r="G184" s="164"/>
      <c r="H184" s="165"/>
      <c r="L184" s="4" t="s">
        <v>107</v>
      </c>
      <c r="M184" s="164"/>
      <c r="N184" s="165"/>
      <c r="O184" s="165"/>
      <c r="P184" s="28" t="str">
        <f>IF(M184="","",IF(M184="due pilastri di coltello",2,IF(M184="un pilastro di coltello",1,0)))</f>
        <v/>
      </c>
    </row>
    <row r="185" spans="1:19">
      <c r="A185" s="10" t="str">
        <f>IF(B184="a spessore","momento da  sisma trascurabile","")</f>
        <v/>
      </c>
      <c r="B185" s="17"/>
      <c r="D185" s="10" t="str">
        <f>IF(A185&lt;&gt;"","",IF(AND(G184="più corta delle altre",P184&gt;0),"il momento da sisma può essere maggiore delle previsioni",IF(AND(G184="più lunga delle altre",P184&gt;0),"il momento da sisma è probabilmente minore delle previsioni", "")))</f>
        <v/>
      </c>
      <c r="M185" s="10" t="str">
        <f>IF(P184=0,"il momento da sisma è meno rilevante","")</f>
        <v/>
      </c>
    </row>
    <row r="186" spans="1:19">
      <c r="F186" s="4" t="s">
        <v>112</v>
      </c>
      <c r="G186" s="1" t="s">
        <v>125</v>
      </c>
      <c r="H186" s="12"/>
      <c r="I186" s="3" t="s">
        <v>111</v>
      </c>
      <c r="N186" s="4" t="s">
        <v>113</v>
      </c>
      <c r="O186" s="1" t="s">
        <v>121</v>
      </c>
      <c r="P186" s="13"/>
      <c r="Q186" s="1" t="s">
        <v>122</v>
      </c>
      <c r="R186" s="13"/>
    </row>
    <row r="188" spans="1:19" ht="14.25">
      <c r="A188" s="1" t="s">
        <v>50</v>
      </c>
      <c r="B188" s="166" t="s">
        <v>126</v>
      </c>
      <c r="C188" s="167"/>
      <c r="D188" s="167"/>
      <c r="E188" s="166" t="s">
        <v>127</v>
      </c>
      <c r="F188" s="168"/>
      <c r="G188" s="166" t="s">
        <v>123</v>
      </c>
      <c r="H188" s="168"/>
      <c r="I188" s="166" t="s">
        <v>124</v>
      </c>
      <c r="J188" s="168"/>
    </row>
    <row r="189" spans="1:19">
      <c r="B189" s="8" t="s">
        <v>114</v>
      </c>
      <c r="C189" s="1" t="s">
        <v>115</v>
      </c>
      <c r="D189" s="1" t="s">
        <v>116</v>
      </c>
      <c r="E189" s="8" t="s">
        <v>115</v>
      </c>
      <c r="F189" s="1" t="s">
        <v>116</v>
      </c>
      <c r="G189" s="8" t="s">
        <v>115</v>
      </c>
      <c r="H189" s="1" t="s">
        <v>116</v>
      </c>
      <c r="I189" s="8" t="s">
        <v>115</v>
      </c>
      <c r="J189" s="1" t="s">
        <v>116</v>
      </c>
    </row>
    <row r="190" spans="1:19">
      <c r="A190" s="1" t="str">
        <f>CarSoll!$A$11</f>
        <v/>
      </c>
      <c r="B190" s="9" t="str">
        <f>IF(A190="","",IF(H182="",0,IF(H182="x",VLOOKUP(A190,CarSoll!$A$11:$S$19,18,FALSE),VLOOKUP(A190,CarSoll!$A$26:$S$34,18,FALSE))))</f>
        <v/>
      </c>
      <c r="C190" s="7" t="str">
        <f>IF(A190="","",IF(B184="a spessore",0,B190*R182*IF(P184=0,0.3,1)))</f>
        <v/>
      </c>
      <c r="D190" s="7" t="str">
        <f>IF(A190="","",C190*(1-P186))</f>
        <v/>
      </c>
      <c r="E190" s="9" t="str">
        <f>IF(A190="","",H186)</f>
        <v/>
      </c>
      <c r="F190" s="7" t="str">
        <f>IF(A190="","",E190*(1-R186))</f>
        <v/>
      </c>
      <c r="G190" s="9" t="str">
        <f>IF(A190="","",-C190-E190)</f>
        <v/>
      </c>
      <c r="H190" s="7" t="str">
        <f>IF(B190="","",-D190-F190)</f>
        <v/>
      </c>
      <c r="I190" s="9" t="str">
        <f>IF(A190="","",C190-E190)</f>
        <v/>
      </c>
      <c r="J190" s="7" t="str">
        <f>IF(B190="","",D190-F190)</f>
        <v/>
      </c>
    </row>
    <row r="191" spans="1:19">
      <c r="A191" s="1" t="str">
        <f>CarSoll!$A$12</f>
        <v/>
      </c>
      <c r="B191" s="9" t="str">
        <f>IF(A191="","",IF(H182="",0,IF(H182="x",VLOOKUP(A191,CarSoll!$A$11:$S$19,18,FALSE),VLOOKUP(A191,CarSoll!$A$26:$S$34,18,FALSE))))</f>
        <v/>
      </c>
      <c r="C191" s="7" t="str">
        <f>IF(A191="","",IF(B184="a spessore",0,B191*R182*IF(P184=0,0.3,1)))</f>
        <v/>
      </c>
      <c r="D191" s="7" t="str">
        <f>IF(A191="","",C191*(1-P186))</f>
        <v/>
      </c>
      <c r="E191" s="9" t="str">
        <f>IF(A191="","",H186)</f>
        <v/>
      </c>
      <c r="F191" s="7" t="str">
        <f>IF(A191="","",E191*(1-R186))</f>
        <v/>
      </c>
      <c r="G191" s="9" t="str">
        <f t="shared" ref="G191:G197" si="36">IF(A191="","",-C191-E191)</f>
        <v/>
      </c>
      <c r="H191" s="7" t="str">
        <f t="shared" ref="H191:H197" si="37">IF(B191="","",-D191-F191)</f>
        <v/>
      </c>
      <c r="I191" s="9" t="str">
        <f t="shared" ref="I191:I197" si="38">IF(A191="","",C191-E191)</f>
        <v/>
      </c>
      <c r="J191" s="7" t="str">
        <f t="shared" ref="J191:J197" si="39">IF(B191="","",D191-F191)</f>
        <v/>
      </c>
    </row>
    <row r="192" spans="1:19">
      <c r="A192" s="1" t="str">
        <f>CarSoll!$A$13</f>
        <v/>
      </c>
      <c r="B192" s="9" t="str">
        <f>IF(A192="","",IF(H182="",0,IF(H182="x",VLOOKUP(A192,CarSoll!$A$11:$S$19,18,FALSE),VLOOKUP(A192,CarSoll!$A$26:$S$34,18,FALSE))))</f>
        <v/>
      </c>
      <c r="C192" s="7" t="str">
        <f>IF(A192="","",IF(B184="a spessore",0,B192*R182*IF(P184=0,0.3,1)))</f>
        <v/>
      </c>
      <c r="D192" s="7" t="str">
        <f>IF(A192="","",C192*(1-P186))</f>
        <v/>
      </c>
      <c r="E192" s="9" t="str">
        <f>IF(A192="","",H186)</f>
        <v/>
      </c>
      <c r="F192" s="7" t="str">
        <f>IF(A192="","",E192*(1-R186))</f>
        <v/>
      </c>
      <c r="G192" s="9" t="str">
        <f t="shared" si="36"/>
        <v/>
      </c>
      <c r="H192" s="7" t="str">
        <f t="shared" si="37"/>
        <v/>
      </c>
      <c r="I192" s="9" t="str">
        <f t="shared" si="38"/>
        <v/>
      </c>
      <c r="J192" s="7" t="str">
        <f t="shared" si="39"/>
        <v/>
      </c>
    </row>
    <row r="193" spans="1:19">
      <c r="A193" s="1">
        <f>CarSoll!$A$14</f>
        <v>5</v>
      </c>
      <c r="B193" s="9">
        <f>IF(A193="","",IF(H182="",0,IF(H182="x",VLOOKUP(A193,CarSoll!$A$11:$S$19,18,FALSE),VLOOKUP(A193,CarSoll!$A$26:$S$34,18,FALSE))))</f>
        <v>0</v>
      </c>
      <c r="C193" s="7">
        <f>IF(A193="","",IF(B184="a spessore",0,B193*R182*IF(P184=0,0.3,1)))</f>
        <v>0</v>
      </c>
      <c r="D193" s="7">
        <f>IF(A193="","",C193*(1-P186))</f>
        <v>0</v>
      </c>
      <c r="E193" s="9">
        <f>IF(A193="","",H186)</f>
        <v>0</v>
      </c>
      <c r="F193" s="7">
        <f>IF(A193="","",E193*(1-R186))</f>
        <v>0</v>
      </c>
      <c r="G193" s="9">
        <f t="shared" si="36"/>
        <v>0</v>
      </c>
      <c r="H193" s="7">
        <f t="shared" si="37"/>
        <v>0</v>
      </c>
      <c r="I193" s="9">
        <f t="shared" si="38"/>
        <v>0</v>
      </c>
      <c r="J193" s="7">
        <f t="shared" si="39"/>
        <v>0</v>
      </c>
    </row>
    <row r="194" spans="1:19">
      <c r="A194" s="1">
        <f>CarSoll!$A$15</f>
        <v>4</v>
      </c>
      <c r="B194" s="9">
        <f>IF(A194="","",IF(H182="",0,IF(H182="x",VLOOKUP(A194,CarSoll!$A$11:$S$19,18,FALSE),VLOOKUP(A194,CarSoll!$A$26:$S$34,18,FALSE))))</f>
        <v>0</v>
      </c>
      <c r="C194" s="7">
        <f>IF(A194="","",IF(B184="a spessore",0,B194*R182*IF(P184=0,0.3,1)))</f>
        <v>0</v>
      </c>
      <c r="D194" s="7">
        <f>IF(A194="","",C194*(1-P186))</f>
        <v>0</v>
      </c>
      <c r="E194" s="9">
        <f>IF(A194="","",H186)</f>
        <v>0</v>
      </c>
      <c r="F194" s="7">
        <f>IF(A194="","",E194*(1-R186))</f>
        <v>0</v>
      </c>
      <c r="G194" s="9">
        <f t="shared" si="36"/>
        <v>0</v>
      </c>
      <c r="H194" s="7">
        <f t="shared" si="37"/>
        <v>0</v>
      </c>
      <c r="I194" s="9">
        <f t="shared" si="38"/>
        <v>0</v>
      </c>
      <c r="J194" s="7">
        <f t="shared" si="39"/>
        <v>0</v>
      </c>
      <c r="L194" s="29" t="s">
        <v>152</v>
      </c>
    </row>
    <row r="195" spans="1:19">
      <c r="A195" s="1">
        <f>CarSoll!$A$16</f>
        <v>3</v>
      </c>
      <c r="B195" s="9">
        <f>IF(A195="","",IF(H182="",0,IF(H182="x",VLOOKUP(A195,CarSoll!$A$11:$S$19,18,FALSE),VLOOKUP(A195,CarSoll!$A$26:$S$34,18,FALSE))))</f>
        <v>0</v>
      </c>
      <c r="C195" s="7">
        <f>IF(A195="","",IF(B184="a spessore",0,B195*R182*IF(P184=0,0.3,1)))</f>
        <v>0</v>
      </c>
      <c r="D195" s="7">
        <f>IF(A195="","",C195*(1-P186))</f>
        <v>0</v>
      </c>
      <c r="E195" s="9">
        <f>IF(A195="","",H186)</f>
        <v>0</v>
      </c>
      <c r="F195" s="7">
        <f>IF(A195="","",E195*(1-R186))</f>
        <v>0</v>
      </c>
      <c r="G195" s="9">
        <f t="shared" si="36"/>
        <v>0</v>
      </c>
      <c r="H195" s="7">
        <f t="shared" si="37"/>
        <v>0</v>
      </c>
      <c r="I195" s="9">
        <f t="shared" si="38"/>
        <v>0</v>
      </c>
      <c r="J195" s="7">
        <f t="shared" si="39"/>
        <v>0</v>
      </c>
      <c r="L195" s="163"/>
      <c r="M195" s="163"/>
      <c r="N195" s="163"/>
      <c r="O195" s="163"/>
      <c r="P195" s="163"/>
      <c r="Q195" s="163"/>
      <c r="R195" s="163"/>
    </row>
    <row r="196" spans="1:19">
      <c r="A196" s="1">
        <f>CarSoll!$A$17</f>
        <v>2</v>
      </c>
      <c r="B196" s="9">
        <f>IF(A196="","",IF(H182="",0,IF(H182="x",VLOOKUP(A196,CarSoll!$A$11:$S$19,18,FALSE),VLOOKUP(A196,CarSoll!$A$26:$S$34,18,FALSE))))</f>
        <v>0</v>
      </c>
      <c r="C196" s="7">
        <f>IF(A196="","",IF(B184="a spessore",0,B196*R182*IF(P184=0,0.3,1)))</f>
        <v>0</v>
      </c>
      <c r="D196" s="7">
        <f>IF(A196="","",C196*(1-P186))</f>
        <v>0</v>
      </c>
      <c r="E196" s="9">
        <f>IF(A196="","",H186)</f>
        <v>0</v>
      </c>
      <c r="F196" s="7">
        <f>IF(A196="","",E196*(1-R186))</f>
        <v>0</v>
      </c>
      <c r="G196" s="9">
        <f t="shared" si="36"/>
        <v>0</v>
      </c>
      <c r="H196" s="7">
        <f t="shared" si="37"/>
        <v>0</v>
      </c>
      <c r="I196" s="9">
        <f t="shared" si="38"/>
        <v>0</v>
      </c>
      <c r="J196" s="7">
        <f t="shared" si="39"/>
        <v>0</v>
      </c>
      <c r="L196" s="163"/>
      <c r="M196" s="163"/>
      <c r="N196" s="163"/>
      <c r="O196" s="163"/>
      <c r="P196" s="163"/>
      <c r="Q196" s="163"/>
      <c r="R196" s="163"/>
    </row>
    <row r="197" spans="1:19">
      <c r="A197" s="1">
        <f>CarSoll!$A$18</f>
        <v>1</v>
      </c>
      <c r="B197" s="9">
        <f>IF(A197="","",IF(H182="",0,IF(H182="x",VLOOKUP(A197,CarSoll!$A$11:$S$19,18,FALSE),VLOOKUP(A197,CarSoll!$A$26:$S$34,18,FALSE))))</f>
        <v>0</v>
      </c>
      <c r="C197" s="7">
        <f>IF(A197="","",IF(B184="a spessore",0,B197*R182*IF(P184=0,0.3,1)))</f>
        <v>0</v>
      </c>
      <c r="D197" s="7">
        <f>IF(A197="","",C197*(1-P186))</f>
        <v>0</v>
      </c>
      <c r="E197" s="9">
        <f>IF(A197="","",H186)</f>
        <v>0</v>
      </c>
      <c r="F197" s="7">
        <f>IF(A197="","",E197*(1-R186))</f>
        <v>0</v>
      </c>
      <c r="G197" s="9">
        <f t="shared" si="36"/>
        <v>0</v>
      </c>
      <c r="H197" s="7">
        <f t="shared" si="37"/>
        <v>0</v>
      </c>
      <c r="I197" s="9">
        <f t="shared" si="38"/>
        <v>0</v>
      </c>
      <c r="J197" s="7">
        <f t="shared" si="39"/>
        <v>0</v>
      </c>
      <c r="L197" s="163"/>
      <c r="M197" s="163"/>
      <c r="N197" s="163"/>
      <c r="O197" s="163"/>
      <c r="P197" s="163"/>
      <c r="Q197" s="163"/>
      <c r="R197" s="163"/>
    </row>
    <row r="198" spans="1:19">
      <c r="B198" s="6"/>
      <c r="E198" s="9" t="str">
        <f>IF(A198="","",#REF!)</f>
        <v/>
      </c>
      <c r="F198" s="7" t="str">
        <f>IF(A198="","",E198*(1-#REF!))</f>
        <v/>
      </c>
      <c r="G198" s="6"/>
      <c r="I198" s="6"/>
    </row>
    <row r="199" spans="1:19" ht="13.15">
      <c r="G199" s="18" t="s">
        <v>117</v>
      </c>
      <c r="H199" s="19" t="s">
        <v>133</v>
      </c>
    </row>
    <row r="200" spans="1:19">
      <c r="A200" s="20"/>
      <c r="B200" s="20"/>
      <c r="C200" s="20"/>
      <c r="D200" s="20"/>
      <c r="E200" s="20"/>
      <c r="F200" s="20"/>
      <c r="G200" s="21"/>
      <c r="H200" s="22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</row>
    <row r="202" spans="1:19" ht="13.15">
      <c r="A202" s="2" t="s">
        <v>104</v>
      </c>
      <c r="B202" s="14"/>
      <c r="G202" s="4" t="s">
        <v>105</v>
      </c>
      <c r="H202" s="27"/>
      <c r="K202" s="4" t="s">
        <v>106</v>
      </c>
      <c r="L202" s="164"/>
      <c r="M202" s="164"/>
      <c r="N202" s="164"/>
      <c r="O202" s="165"/>
      <c r="Q202" s="4" t="s">
        <v>108</v>
      </c>
      <c r="R202" s="5"/>
    </row>
    <row r="203" spans="1:19">
      <c r="R203" s="10" t="str">
        <f>IF(OR(AND(L202="molto vicino al baricentro",R202&gt;1.05),AND(L202="distanza intermedia dal baricentro",OR(R202&lt;1.05,R202&gt;1.15)),AND(L202="molto distante dal baricentro",R202&lt;1.15)),"sei sicuro?","")</f>
        <v/>
      </c>
    </row>
    <row r="204" spans="1:19">
      <c r="A204" s="4" t="s">
        <v>109</v>
      </c>
      <c r="B204" s="164"/>
      <c r="C204" s="165"/>
      <c r="F204" s="4" t="s">
        <v>110</v>
      </c>
      <c r="G204" s="164"/>
      <c r="H204" s="165"/>
      <c r="L204" s="4" t="s">
        <v>107</v>
      </c>
      <c r="M204" s="164"/>
      <c r="N204" s="165"/>
      <c r="O204" s="165"/>
      <c r="P204" s="28" t="str">
        <f>IF(M204="","",IF(M204="due pilastri di coltello",2,IF(M204="un pilastro di coltello",1,0)))</f>
        <v/>
      </c>
    </row>
    <row r="205" spans="1:19">
      <c r="A205" s="10" t="str">
        <f>IF(B204="a spessore","momento da  sisma trascurabile","")</f>
        <v/>
      </c>
      <c r="B205" s="17"/>
      <c r="D205" s="10" t="str">
        <f>IF(A205&lt;&gt;"","",IF(AND(G204="più corta delle altre",P204&gt;0),"il momento da sisma può essere maggiore delle previsioni",IF(AND(G204="più lunga delle altre",P204&gt;0),"il momento da sisma è probabilmente minore delle previsioni", "")))</f>
        <v/>
      </c>
      <c r="M205" s="10" t="str">
        <f>IF(P204=0,"il momento da sisma è meno rilevante","")</f>
        <v/>
      </c>
    </row>
    <row r="206" spans="1:19">
      <c r="F206" s="4" t="s">
        <v>112</v>
      </c>
      <c r="G206" s="1" t="s">
        <v>125</v>
      </c>
      <c r="H206" s="12"/>
      <c r="I206" s="3" t="s">
        <v>111</v>
      </c>
      <c r="N206" s="4" t="s">
        <v>113</v>
      </c>
      <c r="O206" s="1" t="s">
        <v>121</v>
      </c>
      <c r="P206" s="13"/>
      <c r="Q206" s="1" t="s">
        <v>122</v>
      </c>
      <c r="R206" s="13"/>
    </row>
    <row r="208" spans="1:19" ht="14.25">
      <c r="A208" s="1" t="s">
        <v>50</v>
      </c>
      <c r="B208" s="166" t="s">
        <v>126</v>
      </c>
      <c r="C208" s="167"/>
      <c r="D208" s="167"/>
      <c r="E208" s="166" t="s">
        <v>127</v>
      </c>
      <c r="F208" s="168"/>
      <c r="G208" s="166" t="s">
        <v>123</v>
      </c>
      <c r="H208" s="168"/>
      <c r="I208" s="166" t="s">
        <v>124</v>
      </c>
      <c r="J208" s="168"/>
    </row>
    <row r="209" spans="1:19">
      <c r="B209" s="8" t="s">
        <v>114</v>
      </c>
      <c r="C209" s="1" t="s">
        <v>115</v>
      </c>
      <c r="D209" s="1" t="s">
        <v>116</v>
      </c>
      <c r="E209" s="8" t="s">
        <v>115</v>
      </c>
      <c r="F209" s="1" t="s">
        <v>116</v>
      </c>
      <c r="G209" s="8" t="s">
        <v>115</v>
      </c>
      <c r="H209" s="1" t="s">
        <v>116</v>
      </c>
      <c r="I209" s="8" t="s">
        <v>115</v>
      </c>
      <c r="J209" s="1" t="s">
        <v>116</v>
      </c>
    </row>
    <row r="210" spans="1:19">
      <c r="A210" s="1" t="str">
        <f>CarSoll!$A$11</f>
        <v/>
      </c>
      <c r="B210" s="9" t="str">
        <f>IF(A210="","",IF(H202="",0,IF(H202="x",VLOOKUP(A210,CarSoll!$A$11:$S$19,18,FALSE),VLOOKUP(A210,CarSoll!$A$26:$S$34,18,FALSE))))</f>
        <v/>
      </c>
      <c r="C210" s="7" t="str">
        <f>IF(A210="","",IF(B204="a spessore",0,B210*R202*IF(P204=0,0.3,1)))</f>
        <v/>
      </c>
      <c r="D210" s="7" t="str">
        <f>IF(A210="","",C210*(1-P206))</f>
        <v/>
      </c>
      <c r="E210" s="9" t="str">
        <f>IF(A210="","",H206)</f>
        <v/>
      </c>
      <c r="F210" s="7" t="str">
        <f>IF(A210="","",E210*(1-R206))</f>
        <v/>
      </c>
      <c r="G210" s="9" t="str">
        <f>IF(A210="","",-C210-E210)</f>
        <v/>
      </c>
      <c r="H210" s="7" t="str">
        <f>IF(B210="","",-D210-F210)</f>
        <v/>
      </c>
      <c r="I210" s="9" t="str">
        <f>IF(A210="","",C210-E210)</f>
        <v/>
      </c>
      <c r="J210" s="7" t="str">
        <f>IF(B210="","",D210-F210)</f>
        <v/>
      </c>
    </row>
    <row r="211" spans="1:19">
      <c r="A211" s="1" t="str">
        <f>CarSoll!$A$12</f>
        <v/>
      </c>
      <c r="B211" s="9" t="str">
        <f>IF(A211="","",IF(H202="",0,IF(H202="x",VLOOKUP(A211,CarSoll!$A$11:$S$19,18,FALSE),VLOOKUP(A211,CarSoll!$A$26:$S$34,18,FALSE))))</f>
        <v/>
      </c>
      <c r="C211" s="7" t="str">
        <f>IF(A211="","",IF(B204="a spessore",0,B211*R202*IF(P204=0,0.3,1)))</f>
        <v/>
      </c>
      <c r="D211" s="7" t="str">
        <f>IF(A211="","",C211*(1-P206))</f>
        <v/>
      </c>
      <c r="E211" s="9" t="str">
        <f>IF(A211="","",H206)</f>
        <v/>
      </c>
      <c r="F211" s="7" t="str">
        <f>IF(A211="","",E211*(1-R206))</f>
        <v/>
      </c>
      <c r="G211" s="9" t="str">
        <f t="shared" ref="G211:G217" si="40">IF(A211="","",-C211-E211)</f>
        <v/>
      </c>
      <c r="H211" s="7" t="str">
        <f t="shared" ref="H211:H217" si="41">IF(B211="","",-D211-F211)</f>
        <v/>
      </c>
      <c r="I211" s="9" t="str">
        <f t="shared" ref="I211:I217" si="42">IF(A211="","",C211-E211)</f>
        <v/>
      </c>
      <c r="J211" s="7" t="str">
        <f t="shared" ref="J211:J217" si="43">IF(B211="","",D211-F211)</f>
        <v/>
      </c>
    </row>
    <row r="212" spans="1:19">
      <c r="A212" s="1" t="str">
        <f>CarSoll!$A$13</f>
        <v/>
      </c>
      <c r="B212" s="9" t="str">
        <f>IF(A212="","",IF(H202="",0,IF(H202="x",VLOOKUP(A212,CarSoll!$A$11:$S$19,18,FALSE),VLOOKUP(A212,CarSoll!$A$26:$S$34,18,FALSE))))</f>
        <v/>
      </c>
      <c r="C212" s="7" t="str">
        <f>IF(A212="","",IF(B204="a spessore",0,B212*R202*IF(P204=0,0.3,1)))</f>
        <v/>
      </c>
      <c r="D212" s="7" t="str">
        <f>IF(A212="","",C212*(1-P206))</f>
        <v/>
      </c>
      <c r="E212" s="9" t="str">
        <f>IF(A212="","",H206)</f>
        <v/>
      </c>
      <c r="F212" s="7" t="str">
        <f>IF(A212="","",E212*(1-R206))</f>
        <v/>
      </c>
      <c r="G212" s="9" t="str">
        <f t="shared" si="40"/>
        <v/>
      </c>
      <c r="H212" s="7" t="str">
        <f t="shared" si="41"/>
        <v/>
      </c>
      <c r="I212" s="9" t="str">
        <f t="shared" si="42"/>
        <v/>
      </c>
      <c r="J212" s="7" t="str">
        <f t="shared" si="43"/>
        <v/>
      </c>
    </row>
    <row r="213" spans="1:19">
      <c r="A213" s="1">
        <f>CarSoll!$A$14</f>
        <v>5</v>
      </c>
      <c r="B213" s="9">
        <f>IF(A213="","",IF(H202="",0,IF(H202="x",VLOOKUP(A213,CarSoll!$A$11:$S$19,18,FALSE),VLOOKUP(A213,CarSoll!$A$26:$S$34,18,FALSE))))</f>
        <v>0</v>
      </c>
      <c r="C213" s="7">
        <f>IF(A213="","",IF(B204="a spessore",0,B213*R202*IF(P204=0,0.3,1)))</f>
        <v>0</v>
      </c>
      <c r="D213" s="7">
        <f>IF(A213="","",C213*(1-P206))</f>
        <v>0</v>
      </c>
      <c r="E213" s="9">
        <f>IF(A213="","",H206)</f>
        <v>0</v>
      </c>
      <c r="F213" s="7">
        <f>IF(A213="","",E213*(1-R206))</f>
        <v>0</v>
      </c>
      <c r="G213" s="9">
        <f t="shared" si="40"/>
        <v>0</v>
      </c>
      <c r="H213" s="7">
        <f t="shared" si="41"/>
        <v>0</v>
      </c>
      <c r="I213" s="9">
        <f t="shared" si="42"/>
        <v>0</v>
      </c>
      <c r="J213" s="7">
        <f t="shared" si="43"/>
        <v>0</v>
      </c>
    </row>
    <row r="214" spans="1:19">
      <c r="A214" s="1">
        <f>CarSoll!$A$15</f>
        <v>4</v>
      </c>
      <c r="B214" s="9">
        <f>IF(A214="","",IF(H202="",0,IF(H202="x",VLOOKUP(A214,CarSoll!$A$11:$S$19,18,FALSE),VLOOKUP(A214,CarSoll!$A$26:$S$34,18,FALSE))))</f>
        <v>0</v>
      </c>
      <c r="C214" s="7">
        <f>IF(A214="","",IF(B204="a spessore",0,B214*R202*IF(P204=0,0.3,1)))</f>
        <v>0</v>
      </c>
      <c r="D214" s="7">
        <f>IF(A214="","",C214*(1-P206))</f>
        <v>0</v>
      </c>
      <c r="E214" s="9">
        <f>IF(A214="","",H206)</f>
        <v>0</v>
      </c>
      <c r="F214" s="7">
        <f>IF(A214="","",E214*(1-R206))</f>
        <v>0</v>
      </c>
      <c r="G214" s="9">
        <f t="shared" si="40"/>
        <v>0</v>
      </c>
      <c r="H214" s="7">
        <f t="shared" si="41"/>
        <v>0</v>
      </c>
      <c r="I214" s="9">
        <f t="shared" si="42"/>
        <v>0</v>
      </c>
      <c r="J214" s="7">
        <f t="shared" si="43"/>
        <v>0</v>
      </c>
      <c r="L214" s="29" t="s">
        <v>152</v>
      </c>
    </row>
    <row r="215" spans="1:19">
      <c r="A215" s="1">
        <f>CarSoll!$A$16</f>
        <v>3</v>
      </c>
      <c r="B215" s="9">
        <f>IF(A215="","",IF(H202="",0,IF(H202="x",VLOOKUP(A215,CarSoll!$A$11:$S$19,18,FALSE),VLOOKUP(A215,CarSoll!$A$26:$S$34,18,FALSE))))</f>
        <v>0</v>
      </c>
      <c r="C215" s="7">
        <f>IF(A215="","",IF(B204="a spessore",0,B215*R202*IF(P204=0,0.3,1)))</f>
        <v>0</v>
      </c>
      <c r="D215" s="7">
        <f>IF(A215="","",C215*(1-P206))</f>
        <v>0</v>
      </c>
      <c r="E215" s="9">
        <f>IF(A215="","",H206)</f>
        <v>0</v>
      </c>
      <c r="F215" s="7">
        <f>IF(A215="","",E215*(1-R206))</f>
        <v>0</v>
      </c>
      <c r="G215" s="9">
        <f t="shared" si="40"/>
        <v>0</v>
      </c>
      <c r="H215" s="7">
        <f t="shared" si="41"/>
        <v>0</v>
      </c>
      <c r="I215" s="9">
        <f t="shared" si="42"/>
        <v>0</v>
      </c>
      <c r="J215" s="7">
        <f t="shared" si="43"/>
        <v>0</v>
      </c>
      <c r="L215" s="163"/>
      <c r="M215" s="163"/>
      <c r="N215" s="163"/>
      <c r="O215" s="163"/>
      <c r="P215" s="163"/>
      <c r="Q215" s="163"/>
      <c r="R215" s="163"/>
    </row>
    <row r="216" spans="1:19">
      <c r="A216" s="1">
        <f>CarSoll!$A$17</f>
        <v>2</v>
      </c>
      <c r="B216" s="9">
        <f>IF(A216="","",IF(H202="",0,IF(H202="x",VLOOKUP(A216,CarSoll!$A$11:$S$19,18,FALSE),VLOOKUP(A216,CarSoll!$A$26:$S$34,18,FALSE))))</f>
        <v>0</v>
      </c>
      <c r="C216" s="7">
        <f>IF(A216="","",IF(B204="a spessore",0,B216*R202*IF(P204=0,0.3,1)))</f>
        <v>0</v>
      </c>
      <c r="D216" s="7">
        <f>IF(A216="","",C216*(1-P206))</f>
        <v>0</v>
      </c>
      <c r="E216" s="9">
        <f>IF(A216="","",H206)</f>
        <v>0</v>
      </c>
      <c r="F216" s="7">
        <f>IF(A216="","",E216*(1-R206))</f>
        <v>0</v>
      </c>
      <c r="G216" s="9">
        <f t="shared" si="40"/>
        <v>0</v>
      </c>
      <c r="H216" s="7">
        <f t="shared" si="41"/>
        <v>0</v>
      </c>
      <c r="I216" s="9">
        <f t="shared" si="42"/>
        <v>0</v>
      </c>
      <c r="J216" s="7">
        <f t="shared" si="43"/>
        <v>0</v>
      </c>
      <c r="L216" s="163"/>
      <c r="M216" s="163"/>
      <c r="N216" s="163"/>
      <c r="O216" s="163"/>
      <c r="P216" s="163"/>
      <c r="Q216" s="163"/>
      <c r="R216" s="163"/>
    </row>
    <row r="217" spans="1:19">
      <c r="A217" s="1">
        <f>CarSoll!$A$18</f>
        <v>1</v>
      </c>
      <c r="B217" s="9">
        <f>IF(A217="","",IF(H202="",0,IF(H202="x",VLOOKUP(A217,CarSoll!$A$11:$S$19,18,FALSE),VLOOKUP(A217,CarSoll!$A$26:$S$34,18,FALSE))))</f>
        <v>0</v>
      </c>
      <c r="C217" s="7">
        <f>IF(A217="","",IF(B204="a spessore",0,B217*R202*IF(P204=0,0.3,1)))</f>
        <v>0</v>
      </c>
      <c r="D217" s="7">
        <f>IF(A217="","",C217*(1-P206))</f>
        <v>0</v>
      </c>
      <c r="E217" s="9">
        <f>IF(A217="","",H206)</f>
        <v>0</v>
      </c>
      <c r="F217" s="7">
        <f>IF(A217="","",E217*(1-R206))</f>
        <v>0</v>
      </c>
      <c r="G217" s="9">
        <f t="shared" si="40"/>
        <v>0</v>
      </c>
      <c r="H217" s="7">
        <f t="shared" si="41"/>
        <v>0</v>
      </c>
      <c r="I217" s="9">
        <f t="shared" si="42"/>
        <v>0</v>
      </c>
      <c r="J217" s="7">
        <f t="shared" si="43"/>
        <v>0</v>
      </c>
      <c r="L217" s="163"/>
      <c r="M217" s="163"/>
      <c r="N217" s="163"/>
      <c r="O217" s="163"/>
      <c r="P217" s="163"/>
      <c r="Q217" s="163"/>
      <c r="R217" s="163"/>
    </row>
    <row r="218" spans="1:19">
      <c r="B218" s="6"/>
      <c r="E218" s="9" t="str">
        <f>IF(A218="","",#REF!)</f>
        <v/>
      </c>
      <c r="F218" s="7" t="str">
        <f>IF(A218="","",E218*(1-#REF!))</f>
        <v/>
      </c>
      <c r="G218" s="6"/>
      <c r="I218" s="6"/>
    </row>
    <row r="219" spans="1:19" ht="13.15">
      <c r="G219" s="18" t="s">
        <v>117</v>
      </c>
      <c r="H219" s="19" t="s">
        <v>133</v>
      </c>
    </row>
    <row r="220" spans="1:19">
      <c r="A220" s="20"/>
      <c r="B220" s="20"/>
      <c r="C220" s="20"/>
      <c r="D220" s="20"/>
      <c r="E220" s="20"/>
      <c r="F220" s="20"/>
      <c r="G220" s="21"/>
      <c r="H220" s="22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</row>
    <row r="222" spans="1:19" ht="13.15">
      <c r="A222" s="2" t="s">
        <v>104</v>
      </c>
      <c r="B222" s="14"/>
      <c r="G222" s="4" t="s">
        <v>105</v>
      </c>
      <c r="H222" s="27"/>
      <c r="K222" s="4" t="s">
        <v>106</v>
      </c>
      <c r="L222" s="164"/>
      <c r="M222" s="164"/>
      <c r="N222" s="164"/>
      <c r="O222" s="165"/>
      <c r="Q222" s="4" t="s">
        <v>108</v>
      </c>
      <c r="R222" s="5"/>
    </row>
    <row r="223" spans="1:19">
      <c r="R223" s="10" t="str">
        <f>IF(OR(AND(L222="molto vicino al baricentro",R222&gt;1.05),AND(L222="distanza intermedia dal baricentro",OR(R222&lt;1.05,R222&gt;1.15)),AND(L222="molto distante dal baricentro",R222&lt;1.15)),"sei sicuro?","")</f>
        <v/>
      </c>
    </row>
    <row r="224" spans="1:19">
      <c r="A224" s="4" t="s">
        <v>109</v>
      </c>
      <c r="B224" s="164"/>
      <c r="C224" s="165"/>
      <c r="F224" s="4" t="s">
        <v>110</v>
      </c>
      <c r="G224" s="164"/>
      <c r="H224" s="165"/>
      <c r="L224" s="4" t="s">
        <v>107</v>
      </c>
      <c r="M224" s="164"/>
      <c r="N224" s="165"/>
      <c r="O224" s="165"/>
      <c r="P224" s="28" t="str">
        <f>IF(M224="","",IF(M224="due pilastri di coltello",2,IF(M224="un pilastro di coltello",1,0)))</f>
        <v/>
      </c>
    </row>
    <row r="225" spans="1:19">
      <c r="A225" s="10" t="str">
        <f>IF(B224="a spessore","momento da  sisma trascurabile","")</f>
        <v/>
      </c>
      <c r="B225" s="17"/>
      <c r="D225" s="10" t="str">
        <f>IF(A225&lt;&gt;"","",IF(AND(G224="più corta delle altre",P224&gt;0),"il momento da sisma può essere maggiore delle previsioni",IF(AND(G224="più lunga delle altre",P224&gt;0),"il momento da sisma è probabilmente minore delle previsioni", "")))</f>
        <v/>
      </c>
      <c r="M225" s="10" t="str">
        <f>IF(P224=0,"il momento da sisma è meno rilevante","")</f>
        <v/>
      </c>
    </row>
    <row r="226" spans="1:19">
      <c r="F226" s="4" t="s">
        <v>112</v>
      </c>
      <c r="G226" s="1" t="s">
        <v>125</v>
      </c>
      <c r="H226" s="12"/>
      <c r="I226" s="3" t="s">
        <v>111</v>
      </c>
      <c r="N226" s="4" t="s">
        <v>113</v>
      </c>
      <c r="O226" s="1" t="s">
        <v>121</v>
      </c>
      <c r="P226" s="13"/>
      <c r="Q226" s="1" t="s">
        <v>122</v>
      </c>
      <c r="R226" s="13"/>
    </row>
    <row r="228" spans="1:19" ht="14.25">
      <c r="A228" s="1" t="s">
        <v>50</v>
      </c>
      <c r="B228" s="166" t="s">
        <v>126</v>
      </c>
      <c r="C228" s="167"/>
      <c r="D228" s="167"/>
      <c r="E228" s="166" t="s">
        <v>127</v>
      </c>
      <c r="F228" s="168"/>
      <c r="G228" s="166" t="s">
        <v>123</v>
      </c>
      <c r="H228" s="168"/>
      <c r="I228" s="166" t="s">
        <v>124</v>
      </c>
      <c r="J228" s="168"/>
    </row>
    <row r="229" spans="1:19">
      <c r="B229" s="8" t="s">
        <v>114</v>
      </c>
      <c r="C229" s="1" t="s">
        <v>115</v>
      </c>
      <c r="D229" s="1" t="s">
        <v>116</v>
      </c>
      <c r="E229" s="8" t="s">
        <v>115</v>
      </c>
      <c r="F229" s="1" t="s">
        <v>116</v>
      </c>
      <c r="G229" s="8" t="s">
        <v>115</v>
      </c>
      <c r="H229" s="1" t="s">
        <v>116</v>
      </c>
      <c r="I229" s="8" t="s">
        <v>115</v>
      </c>
      <c r="J229" s="1" t="s">
        <v>116</v>
      </c>
    </row>
    <row r="230" spans="1:19">
      <c r="A230" s="1" t="str">
        <f>CarSoll!$A$11</f>
        <v/>
      </c>
      <c r="B230" s="9" t="str">
        <f>IF(A230="","",IF(H222="",0,IF(H222="x",VLOOKUP(A230,CarSoll!$A$11:$S$19,18,FALSE),VLOOKUP(A230,CarSoll!$A$26:$S$34,18,FALSE))))</f>
        <v/>
      </c>
      <c r="C230" s="7" t="str">
        <f>IF(A230="","",IF(B224="a spessore",0,B230*R222*IF(P224=0,0.3,1)))</f>
        <v/>
      </c>
      <c r="D230" s="7" t="str">
        <f>IF(A230="","",C230*(1-P226))</f>
        <v/>
      </c>
      <c r="E230" s="9" t="str">
        <f>IF(A230="","",H226)</f>
        <v/>
      </c>
      <c r="F230" s="7" t="str">
        <f>IF(A230="","",E230*(1-R226))</f>
        <v/>
      </c>
      <c r="G230" s="9" t="str">
        <f>IF(A230="","",-C230-E230)</f>
        <v/>
      </c>
      <c r="H230" s="7" t="str">
        <f>IF(B230="","",-D230-F230)</f>
        <v/>
      </c>
      <c r="I230" s="9" t="str">
        <f>IF(A230="","",C230-E230)</f>
        <v/>
      </c>
      <c r="J230" s="7" t="str">
        <f>IF(B230="","",D230-F230)</f>
        <v/>
      </c>
    </row>
    <row r="231" spans="1:19">
      <c r="A231" s="1" t="str">
        <f>CarSoll!$A$12</f>
        <v/>
      </c>
      <c r="B231" s="9" t="str">
        <f>IF(A231="","",IF(H222="",0,IF(H222="x",VLOOKUP(A231,CarSoll!$A$11:$S$19,18,FALSE),VLOOKUP(A231,CarSoll!$A$26:$S$34,18,FALSE))))</f>
        <v/>
      </c>
      <c r="C231" s="7" t="str">
        <f>IF(A231="","",IF(B224="a spessore",0,B231*R222*IF(P224=0,0.3,1)))</f>
        <v/>
      </c>
      <c r="D231" s="7" t="str">
        <f>IF(A231="","",C231*(1-P226))</f>
        <v/>
      </c>
      <c r="E231" s="9" t="str">
        <f>IF(A231="","",H226)</f>
        <v/>
      </c>
      <c r="F231" s="7" t="str">
        <f>IF(A231="","",E231*(1-R226))</f>
        <v/>
      </c>
      <c r="G231" s="9" t="str">
        <f t="shared" ref="G231:G237" si="44">IF(A231="","",-C231-E231)</f>
        <v/>
      </c>
      <c r="H231" s="7" t="str">
        <f t="shared" ref="H231:H237" si="45">IF(B231="","",-D231-F231)</f>
        <v/>
      </c>
      <c r="I231" s="9" t="str">
        <f t="shared" ref="I231:I237" si="46">IF(A231="","",C231-E231)</f>
        <v/>
      </c>
      <c r="J231" s="7" t="str">
        <f t="shared" ref="J231:J237" si="47">IF(B231="","",D231-F231)</f>
        <v/>
      </c>
    </row>
    <row r="232" spans="1:19">
      <c r="A232" s="1" t="str">
        <f>CarSoll!$A$13</f>
        <v/>
      </c>
      <c r="B232" s="9" t="str">
        <f>IF(A232="","",IF(H222="",0,IF(H222="x",VLOOKUP(A232,CarSoll!$A$11:$S$19,18,FALSE),VLOOKUP(A232,CarSoll!$A$26:$S$34,18,FALSE))))</f>
        <v/>
      </c>
      <c r="C232" s="7" t="str">
        <f>IF(A232="","",IF(B224="a spessore",0,B232*R222*IF(P224=0,0.3,1)))</f>
        <v/>
      </c>
      <c r="D232" s="7" t="str">
        <f>IF(A232="","",C232*(1-P226))</f>
        <v/>
      </c>
      <c r="E232" s="9" t="str">
        <f>IF(A232="","",H226)</f>
        <v/>
      </c>
      <c r="F232" s="7" t="str">
        <f>IF(A232="","",E232*(1-R226))</f>
        <v/>
      </c>
      <c r="G232" s="9" t="str">
        <f t="shared" si="44"/>
        <v/>
      </c>
      <c r="H232" s="7" t="str">
        <f t="shared" si="45"/>
        <v/>
      </c>
      <c r="I232" s="9" t="str">
        <f t="shared" si="46"/>
        <v/>
      </c>
      <c r="J232" s="7" t="str">
        <f t="shared" si="47"/>
        <v/>
      </c>
    </row>
    <row r="233" spans="1:19">
      <c r="A233" s="1">
        <f>CarSoll!$A$14</f>
        <v>5</v>
      </c>
      <c r="B233" s="9">
        <f>IF(A233="","",IF(H222="",0,IF(H222="x",VLOOKUP(A233,CarSoll!$A$11:$S$19,18,FALSE),VLOOKUP(A233,CarSoll!$A$26:$S$34,18,FALSE))))</f>
        <v>0</v>
      </c>
      <c r="C233" s="7">
        <f>IF(A233="","",IF(B224="a spessore",0,B233*R222*IF(P224=0,0.3,1)))</f>
        <v>0</v>
      </c>
      <c r="D233" s="7">
        <f>IF(A233="","",C233*(1-P226))</f>
        <v>0</v>
      </c>
      <c r="E233" s="9">
        <f>IF(A233="","",H226)</f>
        <v>0</v>
      </c>
      <c r="F233" s="7">
        <f>IF(A233="","",E233*(1-R226))</f>
        <v>0</v>
      </c>
      <c r="G233" s="9">
        <f t="shared" si="44"/>
        <v>0</v>
      </c>
      <c r="H233" s="7">
        <f t="shared" si="45"/>
        <v>0</v>
      </c>
      <c r="I233" s="9">
        <f t="shared" si="46"/>
        <v>0</v>
      </c>
      <c r="J233" s="7">
        <f t="shared" si="47"/>
        <v>0</v>
      </c>
    </row>
    <row r="234" spans="1:19">
      <c r="A234" s="1">
        <f>CarSoll!$A$15</f>
        <v>4</v>
      </c>
      <c r="B234" s="9">
        <f>IF(A234="","",IF(H222="",0,IF(H222="x",VLOOKUP(A234,CarSoll!$A$11:$S$19,18,FALSE),VLOOKUP(A234,CarSoll!$A$26:$S$34,18,FALSE))))</f>
        <v>0</v>
      </c>
      <c r="C234" s="7">
        <f>IF(A234="","",IF(B224="a spessore",0,B234*R222*IF(P224=0,0.3,1)))</f>
        <v>0</v>
      </c>
      <c r="D234" s="7">
        <f>IF(A234="","",C234*(1-P226))</f>
        <v>0</v>
      </c>
      <c r="E234" s="9">
        <f>IF(A234="","",H226)</f>
        <v>0</v>
      </c>
      <c r="F234" s="7">
        <f>IF(A234="","",E234*(1-R226))</f>
        <v>0</v>
      </c>
      <c r="G234" s="9">
        <f t="shared" si="44"/>
        <v>0</v>
      </c>
      <c r="H234" s="7">
        <f t="shared" si="45"/>
        <v>0</v>
      </c>
      <c r="I234" s="9">
        <f t="shared" si="46"/>
        <v>0</v>
      </c>
      <c r="J234" s="7">
        <f t="shared" si="47"/>
        <v>0</v>
      </c>
      <c r="L234" s="29" t="s">
        <v>152</v>
      </c>
    </row>
    <row r="235" spans="1:19">
      <c r="A235" s="1">
        <f>CarSoll!$A$16</f>
        <v>3</v>
      </c>
      <c r="B235" s="9">
        <f>IF(A235="","",IF(H222="",0,IF(H222="x",VLOOKUP(A235,CarSoll!$A$11:$S$19,18,FALSE),VLOOKUP(A235,CarSoll!$A$26:$S$34,18,FALSE))))</f>
        <v>0</v>
      </c>
      <c r="C235" s="7">
        <f>IF(A235="","",IF(B224="a spessore",0,B235*R222*IF(P224=0,0.3,1)))</f>
        <v>0</v>
      </c>
      <c r="D235" s="7">
        <f>IF(A235="","",C235*(1-P226))</f>
        <v>0</v>
      </c>
      <c r="E235" s="9">
        <f>IF(A235="","",H226)</f>
        <v>0</v>
      </c>
      <c r="F235" s="7">
        <f>IF(A235="","",E235*(1-R226))</f>
        <v>0</v>
      </c>
      <c r="G235" s="9">
        <f t="shared" si="44"/>
        <v>0</v>
      </c>
      <c r="H235" s="7">
        <f t="shared" si="45"/>
        <v>0</v>
      </c>
      <c r="I235" s="9">
        <f t="shared" si="46"/>
        <v>0</v>
      </c>
      <c r="J235" s="7">
        <f t="shared" si="47"/>
        <v>0</v>
      </c>
      <c r="L235" s="163"/>
      <c r="M235" s="163"/>
      <c r="N235" s="163"/>
      <c r="O235" s="163"/>
      <c r="P235" s="163"/>
      <c r="Q235" s="163"/>
      <c r="R235" s="163"/>
    </row>
    <row r="236" spans="1:19">
      <c r="A236" s="1">
        <f>CarSoll!$A$17</f>
        <v>2</v>
      </c>
      <c r="B236" s="9">
        <f>IF(A236="","",IF(H222="",0,IF(H222="x",VLOOKUP(A236,CarSoll!$A$11:$S$19,18,FALSE),VLOOKUP(A236,CarSoll!$A$26:$S$34,18,FALSE))))</f>
        <v>0</v>
      </c>
      <c r="C236" s="7">
        <f>IF(A236="","",IF(B224="a spessore",0,B236*R222*IF(P224=0,0.3,1)))</f>
        <v>0</v>
      </c>
      <c r="D236" s="7">
        <f>IF(A236="","",C236*(1-P226))</f>
        <v>0</v>
      </c>
      <c r="E236" s="9">
        <f>IF(A236="","",H226)</f>
        <v>0</v>
      </c>
      <c r="F236" s="7">
        <f>IF(A236="","",E236*(1-R226))</f>
        <v>0</v>
      </c>
      <c r="G236" s="9">
        <f t="shared" si="44"/>
        <v>0</v>
      </c>
      <c r="H236" s="7">
        <f t="shared" si="45"/>
        <v>0</v>
      </c>
      <c r="I236" s="9">
        <f t="shared" si="46"/>
        <v>0</v>
      </c>
      <c r="J236" s="7">
        <f t="shared" si="47"/>
        <v>0</v>
      </c>
      <c r="L236" s="163"/>
      <c r="M236" s="163"/>
      <c r="N236" s="163"/>
      <c r="O236" s="163"/>
      <c r="P236" s="163"/>
      <c r="Q236" s="163"/>
      <c r="R236" s="163"/>
    </row>
    <row r="237" spans="1:19">
      <c r="A237" s="1">
        <f>CarSoll!$A$18</f>
        <v>1</v>
      </c>
      <c r="B237" s="9">
        <f>IF(A237="","",IF(H222="",0,IF(H222="x",VLOOKUP(A237,CarSoll!$A$11:$S$19,18,FALSE),VLOOKUP(A237,CarSoll!$A$26:$S$34,18,FALSE))))</f>
        <v>0</v>
      </c>
      <c r="C237" s="7">
        <f>IF(A237="","",IF(B224="a spessore",0,B237*R222*IF(P224=0,0.3,1)))</f>
        <v>0</v>
      </c>
      <c r="D237" s="7">
        <f>IF(A237="","",C237*(1-P226))</f>
        <v>0</v>
      </c>
      <c r="E237" s="9">
        <f>IF(A237="","",H226)</f>
        <v>0</v>
      </c>
      <c r="F237" s="7">
        <f>IF(A237="","",E237*(1-R226))</f>
        <v>0</v>
      </c>
      <c r="G237" s="9">
        <f t="shared" si="44"/>
        <v>0</v>
      </c>
      <c r="H237" s="7">
        <f t="shared" si="45"/>
        <v>0</v>
      </c>
      <c r="I237" s="9">
        <f t="shared" si="46"/>
        <v>0</v>
      </c>
      <c r="J237" s="7">
        <f t="shared" si="47"/>
        <v>0</v>
      </c>
      <c r="L237" s="163"/>
      <c r="M237" s="163"/>
      <c r="N237" s="163"/>
      <c r="O237" s="163"/>
      <c r="P237" s="163"/>
      <c r="Q237" s="163"/>
      <c r="R237" s="163"/>
    </row>
    <row r="238" spans="1:19">
      <c r="B238" s="6"/>
      <c r="E238" s="9" t="str">
        <f>IF(A238="","",#REF!)</f>
        <v/>
      </c>
      <c r="F238" s="7" t="str">
        <f>IF(A238="","",E238*(1-#REF!))</f>
        <v/>
      </c>
      <c r="G238" s="6"/>
      <c r="I238" s="6"/>
    </row>
    <row r="239" spans="1:19" ht="13.15">
      <c r="G239" s="18" t="s">
        <v>117</v>
      </c>
      <c r="H239" s="19" t="s">
        <v>133</v>
      </c>
    </row>
    <row r="240" spans="1:19">
      <c r="A240" s="20"/>
      <c r="B240" s="20"/>
      <c r="C240" s="20"/>
      <c r="D240" s="20"/>
      <c r="E240" s="20"/>
      <c r="F240" s="20"/>
      <c r="G240" s="21"/>
      <c r="H240" s="22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</row>
  </sheetData>
  <sheetProtection sheet="1" selectLockedCells="1"/>
  <mergeCells count="108">
    <mergeCell ref="B228:D228"/>
    <mergeCell ref="E228:F228"/>
    <mergeCell ref="G228:H228"/>
    <mergeCell ref="I228:J228"/>
    <mergeCell ref="L235:R237"/>
    <mergeCell ref="L215:R217"/>
    <mergeCell ref="L222:O222"/>
    <mergeCell ref="B224:C224"/>
    <mergeCell ref="G224:H224"/>
    <mergeCell ref="M224:O224"/>
    <mergeCell ref="L202:O202"/>
    <mergeCell ref="B204:C204"/>
    <mergeCell ref="G204:H204"/>
    <mergeCell ref="M204:O204"/>
    <mergeCell ref="B208:D208"/>
    <mergeCell ref="E208:F208"/>
    <mergeCell ref="G208:H208"/>
    <mergeCell ref="I208:J208"/>
    <mergeCell ref="B188:D188"/>
    <mergeCell ref="E188:F188"/>
    <mergeCell ref="G188:H188"/>
    <mergeCell ref="I188:J188"/>
    <mergeCell ref="L195:R197"/>
    <mergeCell ref="L175:R177"/>
    <mergeCell ref="L182:O182"/>
    <mergeCell ref="B184:C184"/>
    <mergeCell ref="G184:H184"/>
    <mergeCell ref="M184:O184"/>
    <mergeCell ref="L162:O162"/>
    <mergeCell ref="B164:C164"/>
    <mergeCell ref="G164:H164"/>
    <mergeCell ref="M164:O164"/>
    <mergeCell ref="B168:D168"/>
    <mergeCell ref="E168:F168"/>
    <mergeCell ref="G168:H168"/>
    <mergeCell ref="I168:J168"/>
    <mergeCell ref="B148:D148"/>
    <mergeCell ref="E148:F148"/>
    <mergeCell ref="G148:H148"/>
    <mergeCell ref="I148:J148"/>
    <mergeCell ref="L155:R157"/>
    <mergeCell ref="L135:R137"/>
    <mergeCell ref="L142:O142"/>
    <mergeCell ref="B144:C144"/>
    <mergeCell ref="G144:H144"/>
    <mergeCell ref="M144:O144"/>
    <mergeCell ref="L122:O122"/>
    <mergeCell ref="B124:C124"/>
    <mergeCell ref="G124:H124"/>
    <mergeCell ref="M124:O124"/>
    <mergeCell ref="B128:D128"/>
    <mergeCell ref="E128:F128"/>
    <mergeCell ref="G128:H128"/>
    <mergeCell ref="I128:J128"/>
    <mergeCell ref="B108:D108"/>
    <mergeCell ref="E108:F108"/>
    <mergeCell ref="G108:H108"/>
    <mergeCell ref="I108:J108"/>
    <mergeCell ref="L115:R117"/>
    <mergeCell ref="L95:R97"/>
    <mergeCell ref="L102:O102"/>
    <mergeCell ref="B104:C104"/>
    <mergeCell ref="G104:H104"/>
    <mergeCell ref="M104:O104"/>
    <mergeCell ref="L82:O82"/>
    <mergeCell ref="B84:C84"/>
    <mergeCell ref="G84:H84"/>
    <mergeCell ref="M84:O84"/>
    <mergeCell ref="B88:D88"/>
    <mergeCell ref="E88:F88"/>
    <mergeCell ref="G88:H88"/>
    <mergeCell ref="I88:J88"/>
    <mergeCell ref="B68:D68"/>
    <mergeCell ref="E68:F68"/>
    <mergeCell ref="G68:H68"/>
    <mergeCell ref="I68:J68"/>
    <mergeCell ref="L75:R77"/>
    <mergeCell ref="L55:R57"/>
    <mergeCell ref="L62:O62"/>
    <mergeCell ref="B64:C64"/>
    <mergeCell ref="G64:H64"/>
    <mergeCell ref="M64:O64"/>
    <mergeCell ref="L42:O42"/>
    <mergeCell ref="B44:C44"/>
    <mergeCell ref="G44:H44"/>
    <mergeCell ref="M44:O44"/>
    <mergeCell ref="B48:D48"/>
    <mergeCell ref="E48:F48"/>
    <mergeCell ref="G48:H48"/>
    <mergeCell ref="I48:J48"/>
    <mergeCell ref="B28:D28"/>
    <mergeCell ref="E28:F28"/>
    <mergeCell ref="G28:H28"/>
    <mergeCell ref="I28:J28"/>
    <mergeCell ref="L35:R37"/>
    <mergeCell ref="L15:R17"/>
    <mergeCell ref="L22:O22"/>
    <mergeCell ref="B24:C24"/>
    <mergeCell ref="G24:H24"/>
    <mergeCell ref="M24:O24"/>
    <mergeCell ref="L2:O2"/>
    <mergeCell ref="B4:C4"/>
    <mergeCell ref="G4:H4"/>
    <mergeCell ref="M4:O4"/>
    <mergeCell ref="B8:D8"/>
    <mergeCell ref="E8:F8"/>
    <mergeCell ref="G8:H8"/>
    <mergeCell ref="I8:J8"/>
  </mergeCells>
  <conditionalFormatting sqref="H10:H17">
    <cfRule type="expression" dxfId="60" priority="24">
      <formula>H10&lt;&gt;""</formula>
    </cfRule>
  </conditionalFormatting>
  <conditionalFormatting sqref="H30:H37">
    <cfRule type="expression" dxfId="59" priority="22">
      <formula>H30&lt;&gt;""</formula>
    </cfRule>
  </conditionalFormatting>
  <conditionalFormatting sqref="H50:H57">
    <cfRule type="expression" dxfId="58" priority="20">
      <formula>H50&lt;&gt;""</formula>
    </cfRule>
  </conditionalFormatting>
  <conditionalFormatting sqref="H70:H77">
    <cfRule type="expression" dxfId="57" priority="18">
      <formula>H70&lt;&gt;""</formula>
    </cfRule>
  </conditionalFormatting>
  <conditionalFormatting sqref="H90:H97">
    <cfRule type="expression" dxfId="56" priority="16">
      <formula>H90&lt;&gt;""</formula>
    </cfRule>
  </conditionalFormatting>
  <conditionalFormatting sqref="H110:H117">
    <cfRule type="expression" dxfId="55" priority="14">
      <formula>H110&lt;&gt;""</formula>
    </cfRule>
  </conditionalFormatting>
  <conditionalFormatting sqref="H130:H137">
    <cfRule type="expression" dxfId="54" priority="12">
      <formula>H130&lt;&gt;""</formula>
    </cfRule>
  </conditionalFormatting>
  <conditionalFormatting sqref="H150:H157">
    <cfRule type="expression" dxfId="53" priority="10">
      <formula>H150&lt;&gt;""</formula>
    </cfRule>
  </conditionalFormatting>
  <conditionalFormatting sqref="H170:H177">
    <cfRule type="expression" dxfId="52" priority="8">
      <formula>H170&lt;&gt;""</formula>
    </cfRule>
  </conditionalFormatting>
  <conditionalFormatting sqref="H190:H197">
    <cfRule type="expression" dxfId="51" priority="6">
      <formula>H190&lt;&gt;""</formula>
    </cfRule>
  </conditionalFormatting>
  <conditionalFormatting sqref="H210:H217">
    <cfRule type="expression" dxfId="50" priority="4">
      <formula>H210&lt;&gt;""</formula>
    </cfRule>
  </conditionalFormatting>
  <conditionalFormatting sqref="H230:H237">
    <cfRule type="expression" dxfId="49" priority="2">
      <formula>H230&lt;&gt;""</formula>
    </cfRule>
  </conditionalFormatting>
  <conditionalFormatting sqref="J10:J17">
    <cfRule type="expression" dxfId="48" priority="23">
      <formula>J10&lt;&gt;""</formula>
    </cfRule>
  </conditionalFormatting>
  <conditionalFormatting sqref="J30:J37">
    <cfRule type="expression" dxfId="47" priority="21">
      <formula>J30&lt;&gt;""</formula>
    </cfRule>
  </conditionalFormatting>
  <conditionalFormatting sqref="J50:J57">
    <cfRule type="expression" dxfId="46" priority="19">
      <formula>J50&lt;&gt;""</formula>
    </cfRule>
  </conditionalFormatting>
  <conditionalFormatting sqref="J70:J77">
    <cfRule type="expression" dxfId="45" priority="17">
      <formula>J70&lt;&gt;""</formula>
    </cfRule>
  </conditionalFormatting>
  <conditionalFormatting sqref="J90:J97">
    <cfRule type="expression" dxfId="44" priority="15">
      <formula>J90&lt;&gt;""</formula>
    </cfRule>
  </conditionalFormatting>
  <conditionalFormatting sqref="J110:J117">
    <cfRule type="expression" dxfId="43" priority="13">
      <formula>J110&lt;&gt;""</formula>
    </cfRule>
  </conditionalFormatting>
  <conditionalFormatting sqref="J130:J137">
    <cfRule type="expression" dxfId="42" priority="11">
      <formula>J130&lt;&gt;""</formula>
    </cfRule>
  </conditionalFormatting>
  <conditionalFormatting sqref="J150:J157">
    <cfRule type="expression" dxfId="41" priority="9">
      <formula>J150&lt;&gt;""</formula>
    </cfRule>
  </conditionalFormatting>
  <conditionalFormatting sqref="J170:J177">
    <cfRule type="expression" dxfId="40" priority="7">
      <formula>J170&lt;&gt;""</formula>
    </cfRule>
  </conditionalFormatting>
  <conditionalFormatting sqref="J190:J197">
    <cfRule type="expression" dxfId="39" priority="5">
      <formula>J190&lt;&gt;""</formula>
    </cfRule>
  </conditionalFormatting>
  <conditionalFormatting sqref="J210:J217">
    <cfRule type="expression" dxfId="38" priority="3">
      <formula>J210&lt;&gt;""</formula>
    </cfRule>
  </conditionalFormatting>
  <conditionalFormatting sqref="J230:J237">
    <cfRule type="expression" dxfId="37" priority="1">
      <formula>J230&lt;&gt;""</formula>
    </cfRule>
  </conditionalFormatting>
  <dataValidations count="6">
    <dataValidation type="list" allowBlank="1" showInputMessage="1" showErrorMessage="1" sqref="B4 B24 B44 B64 B84 B104 B124 B144 B164 B184 B204 B224" xr:uid="{00000000-0002-0000-0600-000000000000}">
      <formula1>"emergente,a spessore"</formula1>
    </dataValidation>
    <dataValidation type="list" allowBlank="1" showInputMessage="1" showErrorMessage="1" sqref="M4 M24 M44 M64 M84 M104 M124 M144 M164 M184 M204 M224" xr:uid="{00000000-0002-0000-0600-000001000000}">
      <formula1>"due pilastri di coltello,un pilastro di coltello,solo pilastri di piatto"</formula1>
    </dataValidation>
    <dataValidation type="list" allowBlank="1" showInputMessage="1" showErrorMessage="1" sqref="H2 H22 H42 H62 H82 H102 H122 H142 H162 H182 H202 H222" xr:uid="{00000000-0002-0000-0600-000002000000}">
      <formula1>"x,y"</formula1>
    </dataValidation>
    <dataValidation type="list" allowBlank="1" showInputMessage="1" showErrorMessage="1" sqref="L2:N2 L22:N22 L42:N42 L62:N62 L82:N82 L102:N102 L122:N122 L142:N142 L162:N162 L182:N182 L202:N202 L222:N222" xr:uid="{00000000-0002-0000-0600-000003000000}">
      <formula1>"molto vicino al baricentro,distanza intermedia dal baricentro,molto distante dal baricentro"</formula1>
    </dataValidation>
    <dataValidation type="list" allowBlank="1" showInputMessage="1" showErrorMessage="1" sqref="R2 R22 R42 R62 R82 R102 R122 R142 R162 R182 R202 R222" xr:uid="{00000000-0002-0000-0600-000004000000}">
      <formula1>"1,1.05,1.1,1.15,1.2"</formula1>
    </dataValidation>
    <dataValidation type="list" allowBlank="1" showInputMessage="1" showErrorMessage="1" sqref="G4 G24 G44 G64 G84 G104 G124 G144 G164 G184 G204 G224" xr:uid="{00000000-0002-0000-0600-000005000000}">
      <formula1>"più corta delle altre, come le altre, più lunga delle altre"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40"/>
  <sheetViews>
    <sheetView workbookViewId="0">
      <selection activeCell="B2" sqref="B2"/>
    </sheetView>
  </sheetViews>
  <sheetFormatPr defaultColWidth="9.1328125" defaultRowHeight="12.75"/>
  <cols>
    <col min="1" max="2" width="9.1328125" style="3"/>
    <col min="3" max="3" width="9.73046875" style="3" bestFit="1" customWidth="1"/>
    <col min="4" max="7" width="9.1328125" style="3"/>
    <col min="8" max="8" width="9.1328125" style="3" customWidth="1"/>
    <col min="9" max="12" width="9.1328125" style="3"/>
    <col min="13" max="13" width="9.73046875" style="3" bestFit="1" customWidth="1"/>
    <col min="14" max="16384" width="9.1328125" style="3"/>
  </cols>
  <sheetData>
    <row r="2" spans="1:18" ht="13.15">
      <c r="A2" s="2" t="s">
        <v>118</v>
      </c>
      <c r="B2" s="15"/>
      <c r="G2" s="4" t="s">
        <v>119</v>
      </c>
      <c r="H2" s="27"/>
      <c r="K2" s="4" t="s">
        <v>106</v>
      </c>
      <c r="L2" s="164"/>
      <c r="M2" s="164"/>
      <c r="N2" s="164"/>
      <c r="O2" s="165"/>
      <c r="Q2" s="4" t="s">
        <v>108</v>
      </c>
      <c r="R2" s="5"/>
    </row>
    <row r="3" spans="1:18">
      <c r="R3" s="10" t="str">
        <f>IF(OR(AND(L2="molto vicino al baricentro",R2&gt;1.05),AND(L2="distanza intermedia dal baricentro",OR(R2&lt;1.05,R2&gt;1.15)),AND(L2="molto distante dal baricentro",R2&lt;1.15)),"sei sicuro?","")</f>
        <v/>
      </c>
    </row>
    <row r="4" spans="1:18">
      <c r="A4" s="4" t="s">
        <v>118</v>
      </c>
      <c r="B4" s="164"/>
      <c r="C4" s="165"/>
      <c r="D4" s="11">
        <f>IF(B4="di coltello",0,10)</f>
        <v>10</v>
      </c>
      <c r="L4" s="4" t="s">
        <v>120</v>
      </c>
      <c r="M4" s="164"/>
      <c r="N4" s="165"/>
      <c r="O4" s="165"/>
      <c r="P4" s="28" t="str">
        <f>IF(M4="","",IF(M4="due travi emergenti",2,IF(M4="una trave emergente",1,0))+D4)</f>
        <v/>
      </c>
    </row>
    <row r="5" spans="1:18">
      <c r="A5" s="10" t="str">
        <f>IF(B4="a spessore","momento da  sisma trascurabile","")</f>
        <v/>
      </c>
      <c r="B5" s="17"/>
      <c r="D5" s="10" t="str">
        <f>IF(A5&lt;&gt;"","",IF(AND(G4="più corta delle altre",P4&gt;0),"il momento da sisma può essere maggiore delle previsioni",IF(AND(G4="più lunga delle altre",P4&gt;0),"il momento da sisma è probabilmente minore delle previsioni", "")))</f>
        <v/>
      </c>
      <c r="M5" s="10" t="str">
        <f>IF(P4=0,"il momento da sisma è poco rilevante","")</f>
        <v/>
      </c>
    </row>
    <row r="6" spans="1:18">
      <c r="N6" s="4" t="s">
        <v>153</v>
      </c>
      <c r="O6" s="1" t="s">
        <v>121</v>
      </c>
      <c r="P6" s="13"/>
    </row>
    <row r="7" spans="1:18" ht="13.15">
      <c r="A7" s="1" t="s">
        <v>50</v>
      </c>
      <c r="B7" s="166" t="s">
        <v>126</v>
      </c>
      <c r="C7" s="167"/>
      <c r="D7" s="167"/>
      <c r="E7" s="8" t="s">
        <v>128</v>
      </c>
      <c r="F7" s="1" t="s">
        <v>129</v>
      </c>
      <c r="G7" s="23" t="s">
        <v>130</v>
      </c>
      <c r="H7" s="8" t="s">
        <v>131</v>
      </c>
      <c r="I7" s="1" t="s">
        <v>132</v>
      </c>
    </row>
    <row r="8" spans="1:18">
      <c r="B8" s="8" t="s">
        <v>114</v>
      </c>
      <c r="C8" s="1" t="s">
        <v>115</v>
      </c>
      <c r="D8" s="1" t="s">
        <v>116</v>
      </c>
      <c r="E8" s="8"/>
      <c r="F8" s="1"/>
      <c r="G8" s="23" t="s">
        <v>116</v>
      </c>
      <c r="H8" s="8"/>
      <c r="I8" s="1"/>
    </row>
    <row r="9" spans="1:18">
      <c r="A9" s="1" t="str">
        <f>CarSoll!$F$11</f>
        <v/>
      </c>
      <c r="B9" s="9" t="str">
        <f>IF(A9="","",IF(H2="",0,IF(H2="x",VLOOKUP(A9,CarSoll!$F$11:$S$19,IF(P4=1,9,4),FALSE),VLOOKUP(A9,CarSoll!$F$26:$S$34,IF(P4=1,9,4),FALSE))))</f>
        <v/>
      </c>
      <c r="C9" s="7" t="str">
        <f>IF(A9="","",IF(B4="di coltello",IF(P4=0,0,1)*B9*R2,IF(P4=0,0,IF(P4=1,0.1,0.3))*B9*R2)*1.5)</f>
        <v/>
      </c>
      <c r="D9" s="7" t="str">
        <f>IF(A9="","",C9*(1-P6))</f>
        <v/>
      </c>
      <c r="E9" s="16"/>
      <c r="F9" s="26" t="str">
        <f>IF(A9="","",IF(P4=1,IF(H2="x",VLOOKUP(A9,CarSoll!$F$11:$S$19,11,FALSE),VLOOKUP(A9,CarSoll!$F$26:$S$34,11,FALSE)),0)*R2)</f>
        <v/>
      </c>
      <c r="G9" s="24" t="str">
        <f>D9</f>
        <v/>
      </c>
      <c r="H9" s="25" t="str">
        <f>IF(A9="","",E9+F9)</f>
        <v/>
      </c>
      <c r="I9" s="26" t="str">
        <f>IF(A9="","",E9-F9)</f>
        <v/>
      </c>
    </row>
    <row r="10" spans="1:18">
      <c r="A10" s="1" t="str">
        <f>CarSoll!$F$12</f>
        <v/>
      </c>
      <c r="B10" s="9" t="str">
        <f>IF(A10="","",IF(H2="",0,IF(H2="x",VLOOKUP(A10,CarSoll!$F$11:$S$19,IF(P4=1,9,4),FALSE),VLOOKUP(A10,CarSoll!$F$26:$S$34,IF(P4=1,9,4),FALSE))))</f>
        <v/>
      </c>
      <c r="C10" s="7" t="str">
        <f>IF(A10="","",IF(B4="di coltello",IF(P4=0,0,1)*B10*R2,IF(P4=0,0,IF(P4=1,0.1,0.3))*B10*R2)*1.5)</f>
        <v/>
      </c>
      <c r="D10" s="7" t="str">
        <f>IF(A10="","",C10*(1-P6))</f>
        <v/>
      </c>
      <c r="E10" s="16"/>
      <c r="F10" s="26" t="str">
        <f>IF(A10="","",IF(P4=1,IF(H2="x",VLOOKUP(A10,CarSoll!$F$11:$S$19,11,FALSE),VLOOKUP(A10,CarSoll!$F$26:$S$34,11,FALSE)),0)*R2)</f>
        <v/>
      </c>
      <c r="G10" s="24" t="str">
        <f t="shared" ref="G10:G17" si="0">D10</f>
        <v/>
      </c>
      <c r="H10" s="25" t="str">
        <f t="shared" ref="H10:H17" si="1">IF(A10="","",E10+F10)</f>
        <v/>
      </c>
      <c r="I10" s="26" t="str">
        <f t="shared" ref="I10:I17" si="2">IF(A10="","",E10-F10)</f>
        <v/>
      </c>
    </row>
    <row r="11" spans="1:18">
      <c r="A11" s="1" t="str">
        <f>CarSoll!$F$13</f>
        <v/>
      </c>
      <c r="B11" s="9" t="str">
        <f>IF(A11="","",IF(H2="",0,IF(H2="x",VLOOKUP(A11,CarSoll!$F$11:$S$19,IF(P4=1,9,4),FALSE),VLOOKUP(A11,CarSoll!$F$26:$S$34,IF(P4=1,9,4),FALSE))))</f>
        <v/>
      </c>
      <c r="C11" s="7" t="str">
        <f>IF(A11="","",IF(B4="di coltello",IF(P4=0,0,1)*B11*R2,IF(P4=0,0,IF(P4=1,0.1,0.3))*B11*R2)*1.5)</f>
        <v/>
      </c>
      <c r="D11" s="7" t="str">
        <f>IF(A11="","",C11*(1-P6))</f>
        <v/>
      </c>
      <c r="E11" s="16"/>
      <c r="F11" s="26" t="str">
        <f>IF(A11="","",IF(P4=1,IF(H2="x",VLOOKUP(A11,CarSoll!$F$11:$S$19,11,FALSE),VLOOKUP(A11,CarSoll!$F$26:$S$34,11,FALSE)),0)*R2)</f>
        <v/>
      </c>
      <c r="G11" s="24" t="str">
        <f t="shared" si="0"/>
        <v/>
      </c>
      <c r="H11" s="25" t="str">
        <f t="shared" si="1"/>
        <v/>
      </c>
      <c r="I11" s="26" t="str">
        <f t="shared" si="2"/>
        <v/>
      </c>
    </row>
    <row r="12" spans="1:18">
      <c r="A12" s="1" t="str">
        <f>CarSoll!$F$14</f>
        <v>5</v>
      </c>
      <c r="B12" s="9">
        <f>IF(A12="","",IF(H2="",0,IF(H2="x",VLOOKUP(A12,CarSoll!$F$11:$S$19,IF(P4=1,9,4),FALSE),VLOOKUP(A12,CarSoll!$F$26:$S$34,IF(P4=1,9,4),FALSE))))</f>
        <v>0</v>
      </c>
      <c r="C12" s="7">
        <f>IF(A12="","",IF(B4="di coltello",IF(P4=0,0,1)*B12*R2,IF(P4=0,0,IF(P4=1,0.1,0.3))*B12*R2)*1.5)</f>
        <v>0</v>
      </c>
      <c r="D12" s="7">
        <f>IF(A12="","",C12*(1-P6))</f>
        <v>0</v>
      </c>
      <c r="E12" s="16"/>
      <c r="F12" s="26">
        <f>IF(A12="","",IF(P4=1,IF(H2="x",VLOOKUP(A12,CarSoll!$F$11:$S$19,11,FALSE),VLOOKUP(A12,CarSoll!$F$26:$S$34,11,FALSE)),0)*R2)</f>
        <v>0</v>
      </c>
      <c r="G12" s="24">
        <f t="shared" si="0"/>
        <v>0</v>
      </c>
      <c r="H12" s="25">
        <f t="shared" si="1"/>
        <v>0</v>
      </c>
      <c r="I12" s="26">
        <f t="shared" si="2"/>
        <v>0</v>
      </c>
    </row>
    <row r="13" spans="1:18">
      <c r="A13" s="1" t="str">
        <f>CarSoll!$F$15</f>
        <v>4</v>
      </c>
      <c r="B13" s="9">
        <f>IF(A13="","",IF(H2="",0,IF(H2="x",VLOOKUP(A13,CarSoll!$F$11:$S$19,IF(P4=1,9,4),FALSE),VLOOKUP(A13,CarSoll!$F$26:$S$34,IF(P4=1,9,4),FALSE))))</f>
        <v>0</v>
      </c>
      <c r="C13" s="7">
        <f>IF(A13="","",IF(B4="di coltello",IF(P4=0,0,1)*B13*R2,IF(P4=0,0,IF(P4=1,0.1,0.3))*B13*R2)*1.5)</f>
        <v>0</v>
      </c>
      <c r="D13" s="7">
        <f>IF(A13="","",C13*(1-P6))</f>
        <v>0</v>
      </c>
      <c r="E13" s="16"/>
      <c r="F13" s="26">
        <f>IF(A13="","",IF(P4=1,IF(H2="x",VLOOKUP(A13,CarSoll!$F$11:$S$19,11,FALSE),VLOOKUP(A13,CarSoll!$F$26:$S$34,11,FALSE)),0)*R2)</f>
        <v>0</v>
      </c>
      <c r="G13" s="24">
        <f t="shared" si="0"/>
        <v>0</v>
      </c>
      <c r="H13" s="25">
        <f t="shared" si="1"/>
        <v>0</v>
      </c>
      <c r="I13" s="26">
        <f t="shared" si="2"/>
        <v>0</v>
      </c>
    </row>
    <row r="14" spans="1:18">
      <c r="A14" s="1" t="str">
        <f>CarSoll!$F$16</f>
        <v>3</v>
      </c>
      <c r="B14" s="9">
        <f>IF(A14="","",IF(H2="",0,IF(H2="x",VLOOKUP(A14,CarSoll!$F$11:$S$19,IF(P4=1,9,4),FALSE),VLOOKUP(A14,CarSoll!$F$26:$S$34,IF(P4=1,9,4),FALSE))))</f>
        <v>0</v>
      </c>
      <c r="C14" s="7">
        <f>IF(A14="","",IF(B4="di coltello",IF(P4=0,0,1)*B14*R2,IF(P4=0,0,IF(P4=1,0.1,0.3))*B14*R2)*1.5)</f>
        <v>0</v>
      </c>
      <c r="D14" s="7">
        <f>IF(A14="","",C14*(1-P6))</f>
        <v>0</v>
      </c>
      <c r="E14" s="16"/>
      <c r="F14" s="26">
        <f>IF(A14="","",IF(P4=1,IF(H2="x",VLOOKUP(A14,CarSoll!$F$11:$S$19,11,FALSE),VLOOKUP(A14,CarSoll!$F$26:$S$34,11,FALSE)),0)*R2)</f>
        <v>0</v>
      </c>
      <c r="G14" s="24">
        <f t="shared" si="0"/>
        <v>0</v>
      </c>
      <c r="H14" s="25">
        <f t="shared" si="1"/>
        <v>0</v>
      </c>
      <c r="I14" s="26">
        <f t="shared" si="2"/>
        <v>0</v>
      </c>
      <c r="L14" s="29" t="s">
        <v>152</v>
      </c>
    </row>
    <row r="15" spans="1:18">
      <c r="A15" s="1" t="str">
        <f>CarSoll!$F$17</f>
        <v>2</v>
      </c>
      <c r="B15" s="9">
        <f>IF(A15="","",IF(H2="",0,IF(H2="x",VLOOKUP(A15,CarSoll!$F$11:$S$19,IF(P4=1,9,4),FALSE),VLOOKUP(A15,CarSoll!$F$26:$S$34,IF(P4=1,9,4),FALSE))))</f>
        <v>0</v>
      </c>
      <c r="C15" s="7">
        <f>IF(A15="","",IF(B4="di coltello",IF(P4=0,0,1)*B15*R2,IF(P4=0,0,IF(P4=1,0.1,0.3))*B15*R2)*1.5)</f>
        <v>0</v>
      </c>
      <c r="D15" s="7">
        <f>IF(A15="","",C15*(1-P6))</f>
        <v>0</v>
      </c>
      <c r="E15" s="16"/>
      <c r="F15" s="26">
        <f>IF(A15="","",IF(P4=1,IF(H2="x",VLOOKUP(A15,CarSoll!$F$11:$S$19,11,FALSE),VLOOKUP(A15,CarSoll!$F$26:$S$34,11,FALSE)),0)*R2)</f>
        <v>0</v>
      </c>
      <c r="G15" s="24">
        <f t="shared" si="0"/>
        <v>0</v>
      </c>
      <c r="H15" s="25">
        <f t="shared" si="1"/>
        <v>0</v>
      </c>
      <c r="I15" s="26">
        <f t="shared" si="2"/>
        <v>0</v>
      </c>
      <c r="L15" s="163"/>
      <c r="M15" s="163"/>
      <c r="N15" s="163"/>
      <c r="O15" s="163"/>
      <c r="P15" s="163"/>
      <c r="Q15" s="163"/>
      <c r="R15" s="163"/>
    </row>
    <row r="16" spans="1:18">
      <c r="A16" s="1" t="str">
        <f>CarSoll!$F$18</f>
        <v>1 testa</v>
      </c>
      <c r="B16" s="9">
        <f>IF(A16="","",IF(H2="",0,IF(H2="x",VLOOKUP(A16,CarSoll!$F$11:$S$19,IF(P4=1,9,4),FALSE),VLOOKUP(A16,CarSoll!$F$26:$S$34,IF(P4=1,9,4),FALSE))))</f>
        <v>0</v>
      </c>
      <c r="C16" s="7">
        <f>IF(A16="","",IF(B4="di coltello",IF(P4=0,0,1)*B16*R2,IF(P4=0,0,IF(P4=1,0.1,0.3))*B16*R2)*IF(A16="1 testa",1.5,1))</f>
        <v>0</v>
      </c>
      <c r="D16" s="7">
        <f>IF(A16="","",C16*(1-P6))</f>
        <v>0</v>
      </c>
      <c r="E16" s="16"/>
      <c r="F16" s="26">
        <f>IF(A16="","",IF(P4=1,IF(A16="2 piede",F15,IF(H2="x",VLOOKUP(A16,CarSoll!$F$11:$S$19,11,FALSE),VLOOKUP(A16,CarSoll!$F$26:$S$34,11,FALSE))*R2),0))</f>
        <v>0</v>
      </c>
      <c r="G16" s="24">
        <f t="shared" si="0"/>
        <v>0</v>
      </c>
      <c r="H16" s="25">
        <f t="shared" si="1"/>
        <v>0</v>
      </c>
      <c r="I16" s="26">
        <f t="shared" si="2"/>
        <v>0</v>
      </c>
      <c r="L16" s="163"/>
      <c r="M16" s="163"/>
      <c r="N16" s="163"/>
      <c r="O16" s="163"/>
      <c r="P16" s="163"/>
      <c r="Q16" s="163"/>
      <c r="R16" s="163"/>
    </row>
    <row r="17" spans="1:19">
      <c r="A17" s="1" t="str">
        <f>CarSoll!$F$19</f>
        <v>1 piede</v>
      </c>
      <c r="B17" s="9">
        <f>IF(A17="","",IF(H2="",0,IF(H2="x",VLOOKUP(A17,CarSoll!$F$11:$S$19,IF(P4=1,9,4),FALSE),VLOOKUP(A17,CarSoll!$F$26:$S$34,IF(P4=1,9,4),FALSE))))</f>
        <v>0</v>
      </c>
      <c r="C17" s="7">
        <f>IF(A17="","",IF(B4="di coltello",IF(P4=0,0,1)*B17*R2,IF(P4=0,0,IF(P4=1,0.1,0.3))*B17*R2))</f>
        <v>0</v>
      </c>
      <c r="D17" s="7">
        <f>IF(A17="","",C17)</f>
        <v>0</v>
      </c>
      <c r="E17" s="16"/>
      <c r="F17" s="26">
        <f>IF(A17="","",F16)</f>
        <v>0</v>
      </c>
      <c r="G17" s="24">
        <f t="shared" si="0"/>
        <v>0</v>
      </c>
      <c r="H17" s="25">
        <f t="shared" si="1"/>
        <v>0</v>
      </c>
      <c r="I17" s="26">
        <f t="shared" si="2"/>
        <v>0</v>
      </c>
      <c r="L17" s="163"/>
      <c r="M17" s="163"/>
      <c r="N17" s="163"/>
      <c r="O17" s="163"/>
      <c r="P17" s="163"/>
      <c r="Q17" s="163"/>
      <c r="R17" s="163"/>
    </row>
    <row r="19" spans="1:19" ht="13.15">
      <c r="F19" s="18" t="s">
        <v>134</v>
      </c>
      <c r="G19" s="19" t="s">
        <v>133</v>
      </c>
      <c r="H19" s="19" t="s">
        <v>133</v>
      </c>
      <c r="I19" s="19" t="s">
        <v>133</v>
      </c>
    </row>
    <row r="20" spans="1:19">
      <c r="A20" s="20"/>
      <c r="B20" s="20"/>
      <c r="C20" s="20"/>
      <c r="D20" s="20"/>
      <c r="E20" s="20"/>
      <c r="F20" s="20"/>
      <c r="G20" s="21"/>
      <c r="H20" s="22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</row>
    <row r="22" spans="1:19" ht="13.15">
      <c r="A22" s="2" t="s">
        <v>118</v>
      </c>
      <c r="B22" s="15"/>
      <c r="G22" s="4" t="s">
        <v>119</v>
      </c>
      <c r="H22" s="27"/>
      <c r="K22" s="4" t="s">
        <v>106</v>
      </c>
      <c r="L22" s="164"/>
      <c r="M22" s="164"/>
      <c r="N22" s="164"/>
      <c r="O22" s="165"/>
      <c r="Q22" s="4" t="s">
        <v>108</v>
      </c>
      <c r="R22" s="5"/>
    </row>
    <row r="23" spans="1:19">
      <c r="R23" s="10" t="str">
        <f>IF(OR(AND(L22="molto vicino al baricentro",R22&gt;1.05),AND(L22="distanza intermedia dal baricentro",OR(R22&lt;1.05,R22&gt;1.15)),AND(L22="molto distante dal baricentro",R22&lt;1.15)),"sei sicuro?","")</f>
        <v/>
      </c>
    </row>
    <row r="24" spans="1:19">
      <c r="A24" s="4" t="s">
        <v>118</v>
      </c>
      <c r="B24" s="164"/>
      <c r="C24" s="165"/>
      <c r="D24" s="11">
        <f>IF(B24="di coltello",0,10)</f>
        <v>10</v>
      </c>
      <c r="L24" s="4" t="s">
        <v>120</v>
      </c>
      <c r="M24" s="164"/>
      <c r="N24" s="165"/>
      <c r="O24" s="165"/>
      <c r="P24" s="28" t="str">
        <f>IF(M24="","",IF(M24="due travi emergenti",2,IF(M24="una trave emergente",1,0))+D24)</f>
        <v/>
      </c>
    </row>
    <row r="25" spans="1:19">
      <c r="A25" s="10" t="str">
        <f>IF(B24="a spessore","momento da  sisma trascurabile","")</f>
        <v/>
      </c>
      <c r="B25" s="17"/>
      <c r="D25" s="10" t="str">
        <f>IF(A25&lt;&gt;"","",IF(AND(G24="più corta delle altre",P24&gt;0),"il momento da sisma può essere maggiore delle previsioni",IF(AND(G24="più lunga delle altre",P24&gt;0),"il momento da sisma è probabilmente minore delle previsioni", "")))</f>
        <v/>
      </c>
      <c r="M25" s="10" t="str">
        <f>IF(P24=0,"il momento da sisma è poco rilevante","")</f>
        <v/>
      </c>
    </row>
    <row r="26" spans="1:19">
      <c r="N26" s="4" t="s">
        <v>153</v>
      </c>
      <c r="O26" s="1" t="s">
        <v>121</v>
      </c>
      <c r="P26" s="13"/>
    </row>
    <row r="27" spans="1:19" ht="13.15">
      <c r="A27" s="1" t="s">
        <v>50</v>
      </c>
      <c r="B27" s="166" t="s">
        <v>126</v>
      </c>
      <c r="C27" s="167"/>
      <c r="D27" s="167"/>
      <c r="E27" s="8" t="s">
        <v>128</v>
      </c>
      <c r="F27" s="1" t="s">
        <v>129</v>
      </c>
      <c r="G27" s="23" t="s">
        <v>130</v>
      </c>
      <c r="H27" s="8" t="s">
        <v>131</v>
      </c>
      <c r="I27" s="1" t="s">
        <v>132</v>
      </c>
    </row>
    <row r="28" spans="1:19">
      <c r="B28" s="8" t="s">
        <v>114</v>
      </c>
      <c r="C28" s="1" t="s">
        <v>115</v>
      </c>
      <c r="D28" s="1" t="s">
        <v>116</v>
      </c>
      <c r="E28" s="8"/>
      <c r="F28" s="1"/>
      <c r="G28" s="23" t="s">
        <v>116</v>
      </c>
      <c r="H28" s="8"/>
      <c r="I28" s="1"/>
    </row>
    <row r="29" spans="1:19">
      <c r="A29" s="1" t="str">
        <f>CarSoll!$F$11</f>
        <v/>
      </c>
      <c r="B29" s="9" t="str">
        <f>IF(A29="","",IF(H22="",0,IF(H22="x",VLOOKUP(A29,CarSoll!$F$11:$S$19,IF(P24=1,9,4),FALSE),VLOOKUP(A29,CarSoll!$F$26:$S$34,IF(P24=1,9,4),FALSE))))</f>
        <v/>
      </c>
      <c r="C29" s="7" t="str">
        <f>IF(A29="","",IF(B24="di coltello",IF(P24=0,0,1)*B29*R22,IF(P24=0,0,IF(P24=1,0.1,0.3))*B29*R22)*1.5)</f>
        <v/>
      </c>
      <c r="D29" s="7" t="str">
        <f>IF(A29="","",C29*(1-P26))</f>
        <v/>
      </c>
      <c r="E29" s="16"/>
      <c r="F29" s="26" t="str">
        <f>IF(A29="","",IF(P24=1,IF(H22="x",VLOOKUP(A29,CarSoll!$F$11:$S$19,11,FALSE),VLOOKUP(A29,CarSoll!$F$26:$S$34,11,FALSE)),0)*R22)</f>
        <v/>
      </c>
      <c r="G29" s="24" t="str">
        <f>D29</f>
        <v/>
      </c>
      <c r="H29" s="25" t="str">
        <f>IF(A29="","",E29+F29)</f>
        <v/>
      </c>
      <c r="I29" s="26" t="str">
        <f>IF(A29="","",E29-F29)</f>
        <v/>
      </c>
    </row>
    <row r="30" spans="1:19">
      <c r="A30" s="1" t="str">
        <f>CarSoll!$F$12</f>
        <v/>
      </c>
      <c r="B30" s="9" t="str">
        <f>IF(A30="","",IF(H22="",0,IF(H22="x",VLOOKUP(A30,CarSoll!$F$11:$S$19,IF(P24=1,9,4),FALSE),VLOOKUP(A30,CarSoll!$F$26:$S$34,IF(P24=1,9,4),FALSE))))</f>
        <v/>
      </c>
      <c r="C30" s="7" t="str">
        <f>IF(A30="","",IF(B24="di coltello",IF(P24=0,0,1)*B30*R22,IF(P24=0,0,IF(P24=1,0.1,0.3))*B30*R22)*1.5)</f>
        <v/>
      </c>
      <c r="D30" s="7" t="str">
        <f>IF(A30="","",C30*(1-P26))</f>
        <v/>
      </c>
      <c r="E30" s="16"/>
      <c r="F30" s="26" t="str">
        <f>IF(A30="","",IF(P24=1,IF(H22="x",VLOOKUP(A30,CarSoll!$F$11:$S$19,11,FALSE),VLOOKUP(A30,CarSoll!$F$26:$S$34,11,FALSE)),0)*R22)</f>
        <v/>
      </c>
      <c r="G30" s="24" t="str">
        <f t="shared" ref="G30:G37" si="3">D30</f>
        <v/>
      </c>
      <c r="H30" s="25" t="str">
        <f t="shared" ref="H30:H37" si="4">IF(A30="","",E30+F30)</f>
        <v/>
      </c>
      <c r="I30" s="26" t="str">
        <f t="shared" ref="I30:I37" si="5">IF(A30="","",E30-F30)</f>
        <v/>
      </c>
    </row>
    <row r="31" spans="1:19">
      <c r="A31" s="1" t="str">
        <f>CarSoll!$F$13</f>
        <v/>
      </c>
      <c r="B31" s="9" t="str">
        <f>IF(A31="","",IF(H22="",0,IF(H22="x",VLOOKUP(A31,CarSoll!$F$11:$S$19,IF(P24=1,9,4),FALSE),VLOOKUP(A31,CarSoll!$F$26:$S$34,IF(P24=1,9,4),FALSE))))</f>
        <v/>
      </c>
      <c r="C31" s="7" t="str">
        <f>IF(A31="","",IF(B24="di coltello",IF(P24=0,0,1)*B31*R22,IF(P24=0,0,IF(P24=1,0.1,0.3))*B31*R22)*1.5)</f>
        <v/>
      </c>
      <c r="D31" s="7" t="str">
        <f>IF(A31="","",C31*(1-P26))</f>
        <v/>
      </c>
      <c r="E31" s="16"/>
      <c r="F31" s="26" t="str">
        <f>IF(A31="","",IF(P24=1,IF(H22="x",VLOOKUP(A31,CarSoll!$F$11:$S$19,11,FALSE),VLOOKUP(A31,CarSoll!$F$26:$S$34,11,FALSE)),0)*R22)</f>
        <v/>
      </c>
      <c r="G31" s="24" t="str">
        <f t="shared" si="3"/>
        <v/>
      </c>
      <c r="H31" s="25" t="str">
        <f t="shared" si="4"/>
        <v/>
      </c>
      <c r="I31" s="26" t="str">
        <f t="shared" si="5"/>
        <v/>
      </c>
    </row>
    <row r="32" spans="1:19">
      <c r="A32" s="1" t="str">
        <f>CarSoll!$F$14</f>
        <v>5</v>
      </c>
      <c r="B32" s="9">
        <f>IF(A32="","",IF(H22="",0,IF(H22="x",VLOOKUP(A32,CarSoll!$F$11:$S$19,IF(P24=1,9,4),FALSE),VLOOKUP(A32,CarSoll!$F$26:$S$34,IF(P24=1,9,4),FALSE))))</f>
        <v>0</v>
      </c>
      <c r="C32" s="7">
        <f>IF(A32="","",IF(B24="di coltello",IF(P24=0,0,1)*B32*R22,IF(P24=0,0,IF(P24=1,0.1,0.3))*B32*R22)*1.5)</f>
        <v>0</v>
      </c>
      <c r="D32" s="7">
        <f>IF(A32="","",C32*(1-P26))</f>
        <v>0</v>
      </c>
      <c r="E32" s="16"/>
      <c r="F32" s="26">
        <f>IF(A32="","",IF(P24=1,IF(H22="x",VLOOKUP(A32,CarSoll!$F$11:$S$19,11,FALSE),VLOOKUP(A32,CarSoll!$F$26:$S$34,11,FALSE)),0)*R22)</f>
        <v>0</v>
      </c>
      <c r="G32" s="24">
        <f t="shared" si="3"/>
        <v>0</v>
      </c>
      <c r="H32" s="25">
        <f t="shared" si="4"/>
        <v>0</v>
      </c>
      <c r="I32" s="26">
        <f t="shared" si="5"/>
        <v>0</v>
      </c>
    </row>
    <row r="33" spans="1:19">
      <c r="A33" s="1" t="str">
        <f>CarSoll!$F$15</f>
        <v>4</v>
      </c>
      <c r="B33" s="9">
        <f>IF(A33="","",IF(H22="",0,IF(H22="x",VLOOKUP(A33,CarSoll!$F$11:$S$19,IF(P24=1,9,4),FALSE),VLOOKUP(A33,CarSoll!$F$26:$S$34,IF(P24=1,9,4),FALSE))))</f>
        <v>0</v>
      </c>
      <c r="C33" s="7">
        <f>IF(A33="","",IF(B24="di coltello",IF(P24=0,0,1)*B33*R22,IF(P24=0,0,IF(P24=1,0.1,0.3))*B33*R22)*1.5)</f>
        <v>0</v>
      </c>
      <c r="D33" s="7">
        <f>IF(A33="","",C33*(1-P26))</f>
        <v>0</v>
      </c>
      <c r="E33" s="16"/>
      <c r="F33" s="26">
        <f>IF(A33="","",IF(P24=1,IF(H22="x",VLOOKUP(A33,CarSoll!$F$11:$S$19,11,FALSE),VLOOKUP(A33,CarSoll!$F$26:$S$34,11,FALSE)),0)*R22)</f>
        <v>0</v>
      </c>
      <c r="G33" s="24">
        <f t="shared" si="3"/>
        <v>0</v>
      </c>
      <c r="H33" s="25">
        <f t="shared" si="4"/>
        <v>0</v>
      </c>
      <c r="I33" s="26">
        <f t="shared" si="5"/>
        <v>0</v>
      </c>
    </row>
    <row r="34" spans="1:19">
      <c r="A34" s="1" t="str">
        <f>CarSoll!$F$16</f>
        <v>3</v>
      </c>
      <c r="B34" s="9">
        <f>IF(A34="","",IF(H22="",0,IF(H22="x",VLOOKUP(A34,CarSoll!$F$11:$S$19,IF(P24=1,9,4),FALSE),VLOOKUP(A34,CarSoll!$F$26:$S$34,IF(P24=1,9,4),FALSE))))</f>
        <v>0</v>
      </c>
      <c r="C34" s="7">
        <f>IF(A34="","",IF(B24="di coltello",IF(P24=0,0,1)*B34*R22,IF(P24=0,0,IF(P24=1,0.1,0.3))*B34*R22)*1.5)</f>
        <v>0</v>
      </c>
      <c r="D34" s="7">
        <f>IF(A34="","",C34*(1-P26))</f>
        <v>0</v>
      </c>
      <c r="E34" s="16"/>
      <c r="F34" s="26">
        <f>IF(A34="","",IF(P24=1,IF(H22="x",VLOOKUP(A34,CarSoll!$F$11:$S$19,11,FALSE),VLOOKUP(A34,CarSoll!$F$26:$S$34,11,FALSE)),0)*R22)</f>
        <v>0</v>
      </c>
      <c r="G34" s="24">
        <f t="shared" si="3"/>
        <v>0</v>
      </c>
      <c r="H34" s="25">
        <f t="shared" si="4"/>
        <v>0</v>
      </c>
      <c r="I34" s="26">
        <f t="shared" si="5"/>
        <v>0</v>
      </c>
      <c r="L34" s="29" t="s">
        <v>152</v>
      </c>
    </row>
    <row r="35" spans="1:19">
      <c r="A35" s="1" t="str">
        <f>CarSoll!$F$17</f>
        <v>2</v>
      </c>
      <c r="B35" s="9">
        <f>IF(A35="","",IF(H22="",0,IF(H22="x",VLOOKUP(A35,CarSoll!$F$11:$S$19,IF(P24=1,9,4),FALSE),VLOOKUP(A35,CarSoll!$F$26:$S$34,IF(P24=1,9,4),FALSE))))</f>
        <v>0</v>
      </c>
      <c r="C35" s="7">
        <f>IF(A35="","",IF(B24="di coltello",IF(P24=0,0,1)*B35*R22,IF(P24=0,0,IF(P24=1,0.1,0.3))*B35*R22)*1.5)</f>
        <v>0</v>
      </c>
      <c r="D35" s="7">
        <f>IF(A35="","",C35*(1-P26))</f>
        <v>0</v>
      </c>
      <c r="E35" s="16"/>
      <c r="F35" s="26">
        <f>IF(A35="","",IF(P24=1,IF(H22="x",VLOOKUP(A35,CarSoll!$F$11:$S$19,11,FALSE),VLOOKUP(A35,CarSoll!$F$26:$S$34,11,FALSE)),0)*R22)</f>
        <v>0</v>
      </c>
      <c r="G35" s="24">
        <f t="shared" si="3"/>
        <v>0</v>
      </c>
      <c r="H35" s="25">
        <f t="shared" si="4"/>
        <v>0</v>
      </c>
      <c r="I35" s="26">
        <f t="shared" si="5"/>
        <v>0</v>
      </c>
      <c r="L35" s="163"/>
      <c r="M35" s="163"/>
      <c r="N35" s="163"/>
      <c r="O35" s="163"/>
      <c r="P35" s="163"/>
      <c r="Q35" s="163"/>
      <c r="R35" s="163"/>
    </row>
    <row r="36" spans="1:19">
      <c r="A36" s="1" t="str">
        <f>CarSoll!$F$18</f>
        <v>1 testa</v>
      </c>
      <c r="B36" s="9">
        <f>IF(A36="","",IF(H22="",0,IF(H22="x",VLOOKUP(A36,CarSoll!$F$11:$S$19,IF(P24=1,9,4),FALSE),VLOOKUP(A36,CarSoll!$F$26:$S$34,IF(P24=1,9,4),FALSE))))</f>
        <v>0</v>
      </c>
      <c r="C36" s="7">
        <f>IF(A36="","",IF(B24="di coltello",IF(P24=0,0,1)*B36*R22,IF(P24=0,0,IF(P24=1,0.1,0.3))*B36*R22)*IF(A36="1 testa",1.5,1))</f>
        <v>0</v>
      </c>
      <c r="D36" s="7">
        <f>IF(A36="","",C36*(1-P26))</f>
        <v>0</v>
      </c>
      <c r="E36" s="16"/>
      <c r="F36" s="26">
        <f>IF(A36="","",IF(P24=1,IF(A36="2 piede",F35,IF(H22="x",VLOOKUP(A36,CarSoll!$F$11:$S$19,11,FALSE),VLOOKUP(A36,CarSoll!$F$26:$S$34,11,FALSE))*R22),0))</f>
        <v>0</v>
      </c>
      <c r="G36" s="24">
        <f t="shared" si="3"/>
        <v>0</v>
      </c>
      <c r="H36" s="25">
        <f t="shared" si="4"/>
        <v>0</v>
      </c>
      <c r="I36" s="26">
        <f t="shared" si="5"/>
        <v>0</v>
      </c>
      <c r="L36" s="163"/>
      <c r="M36" s="163"/>
      <c r="N36" s="163"/>
      <c r="O36" s="163"/>
      <c r="P36" s="163"/>
      <c r="Q36" s="163"/>
      <c r="R36" s="163"/>
    </row>
    <row r="37" spans="1:19">
      <c r="A37" s="1" t="str">
        <f>CarSoll!$F$19</f>
        <v>1 piede</v>
      </c>
      <c r="B37" s="9">
        <f>IF(A37="","",IF(H22="",0,IF(H22="x",VLOOKUP(A37,CarSoll!$F$11:$S$19,IF(P24=1,9,4),FALSE),VLOOKUP(A37,CarSoll!$F$26:$S$34,IF(P24=1,9,4),FALSE))))</f>
        <v>0</v>
      </c>
      <c r="C37" s="7">
        <f>IF(A37="","",IF(B24="di coltello",IF(P24=0,0,1)*B37*R22,IF(P24=0,0,IF(P24=1,0.1,0.3))*B37*R22))</f>
        <v>0</v>
      </c>
      <c r="D37" s="7">
        <f>IF(A37="","",C37)</f>
        <v>0</v>
      </c>
      <c r="E37" s="16"/>
      <c r="F37" s="26">
        <f>IF(A37="","",F36)</f>
        <v>0</v>
      </c>
      <c r="G37" s="24">
        <f t="shared" si="3"/>
        <v>0</v>
      </c>
      <c r="H37" s="25">
        <f t="shared" si="4"/>
        <v>0</v>
      </c>
      <c r="I37" s="26">
        <f t="shared" si="5"/>
        <v>0</v>
      </c>
      <c r="L37" s="163"/>
      <c r="M37" s="163"/>
      <c r="N37" s="163"/>
      <c r="O37" s="163"/>
      <c r="P37" s="163"/>
      <c r="Q37" s="163"/>
      <c r="R37" s="163"/>
    </row>
    <row r="39" spans="1:19" ht="13.15">
      <c r="F39" s="18" t="s">
        <v>134</v>
      </c>
      <c r="G39" s="19" t="s">
        <v>133</v>
      </c>
      <c r="H39" s="19" t="s">
        <v>133</v>
      </c>
      <c r="I39" s="19" t="s">
        <v>133</v>
      </c>
    </row>
    <row r="40" spans="1:19">
      <c r="A40" s="20"/>
      <c r="B40" s="20"/>
      <c r="C40" s="20"/>
      <c r="D40" s="20"/>
      <c r="E40" s="20"/>
      <c r="F40" s="20"/>
      <c r="G40" s="21"/>
      <c r="H40" s="22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</row>
    <row r="42" spans="1:19" ht="13.15">
      <c r="A42" s="2" t="s">
        <v>118</v>
      </c>
      <c r="B42" s="15"/>
      <c r="G42" s="4" t="s">
        <v>119</v>
      </c>
      <c r="H42" s="27"/>
      <c r="K42" s="4" t="s">
        <v>106</v>
      </c>
      <c r="L42" s="164"/>
      <c r="M42" s="164"/>
      <c r="N42" s="164"/>
      <c r="O42" s="165"/>
      <c r="Q42" s="4" t="s">
        <v>108</v>
      </c>
      <c r="R42" s="5"/>
    </row>
    <row r="43" spans="1:19">
      <c r="R43" s="10" t="str">
        <f>IF(OR(AND(L42="molto vicino al baricentro",R42&gt;1.05),AND(L42="distanza intermedia dal baricentro",OR(R42&lt;1.05,R42&gt;1.15)),AND(L42="molto distante dal baricentro",R42&lt;1.15)),"sei sicuro?","")</f>
        <v/>
      </c>
    </row>
    <row r="44" spans="1:19">
      <c r="A44" s="4" t="s">
        <v>118</v>
      </c>
      <c r="B44" s="164"/>
      <c r="C44" s="165"/>
      <c r="D44" s="11">
        <f>IF(B44="di coltello",0,10)</f>
        <v>10</v>
      </c>
      <c r="L44" s="4" t="s">
        <v>120</v>
      </c>
      <c r="M44" s="164"/>
      <c r="N44" s="165"/>
      <c r="O44" s="165"/>
      <c r="P44" s="28" t="str">
        <f>IF(M44="","",IF(M44="due travi emergenti",2,IF(M44="una trave emergente",1,0))+D44)</f>
        <v/>
      </c>
    </row>
    <row r="45" spans="1:19">
      <c r="A45" s="10" t="str">
        <f>IF(B44="a spessore","momento da  sisma trascurabile","")</f>
        <v/>
      </c>
      <c r="B45" s="17"/>
      <c r="D45" s="10" t="str">
        <f>IF(A45&lt;&gt;"","",IF(AND(G44="più corta delle altre",P44&gt;0),"il momento da sisma può essere maggiore delle previsioni",IF(AND(G44="più lunga delle altre",P44&gt;0),"il momento da sisma è probabilmente minore delle previsioni", "")))</f>
        <v/>
      </c>
      <c r="M45" s="10" t="str">
        <f>IF(P44=0,"il momento da sisma è poco rilevante","")</f>
        <v/>
      </c>
    </row>
    <row r="46" spans="1:19">
      <c r="N46" s="4" t="s">
        <v>153</v>
      </c>
      <c r="O46" s="1" t="s">
        <v>121</v>
      </c>
      <c r="P46" s="13"/>
    </row>
    <row r="47" spans="1:19" ht="13.15">
      <c r="A47" s="1" t="s">
        <v>50</v>
      </c>
      <c r="B47" s="166" t="s">
        <v>126</v>
      </c>
      <c r="C47" s="167"/>
      <c r="D47" s="167"/>
      <c r="E47" s="8" t="s">
        <v>128</v>
      </c>
      <c r="F47" s="1" t="s">
        <v>129</v>
      </c>
      <c r="G47" s="23" t="s">
        <v>130</v>
      </c>
      <c r="H47" s="8" t="s">
        <v>131</v>
      </c>
      <c r="I47" s="1" t="s">
        <v>132</v>
      </c>
    </row>
    <row r="48" spans="1:19">
      <c r="B48" s="8" t="s">
        <v>114</v>
      </c>
      <c r="C48" s="1" t="s">
        <v>115</v>
      </c>
      <c r="D48" s="1" t="s">
        <v>116</v>
      </c>
      <c r="E48" s="8"/>
      <c r="F48" s="1"/>
      <c r="G48" s="23" t="s">
        <v>116</v>
      </c>
      <c r="H48" s="8"/>
      <c r="I48" s="1"/>
    </row>
    <row r="49" spans="1:19">
      <c r="A49" s="1" t="str">
        <f>CarSoll!$F$11</f>
        <v/>
      </c>
      <c r="B49" s="9" t="str">
        <f>IF(A49="","",IF(H42="",0,IF(H42="x",VLOOKUP(A49,CarSoll!$F$11:$S$19,IF(P44=1,9,4),FALSE),VLOOKUP(A49,CarSoll!$F$26:$S$34,IF(P44=1,9,4),FALSE))))</f>
        <v/>
      </c>
      <c r="C49" s="7" t="str">
        <f>IF(A49="","",IF(B44="di coltello",IF(P44=0,0,1)*B49*R42,IF(P44=0,0,IF(P44=1,0.1,0.3))*B49*R42)*1.5)</f>
        <v/>
      </c>
      <c r="D49" s="7" t="str">
        <f>IF(A49="","",C49*(1-P46))</f>
        <v/>
      </c>
      <c r="E49" s="16"/>
      <c r="F49" s="26" t="str">
        <f>IF(A49="","",IF(P44=1,IF(H42="x",VLOOKUP(A49,CarSoll!$F$11:$S$19,11,FALSE),VLOOKUP(A49,CarSoll!$F$26:$S$34,11,FALSE)),0)*R42)</f>
        <v/>
      </c>
      <c r="G49" s="24" t="str">
        <f>D49</f>
        <v/>
      </c>
      <c r="H49" s="25" t="str">
        <f>IF(A49="","",E49+F49)</f>
        <v/>
      </c>
      <c r="I49" s="26" t="str">
        <f>IF(A49="","",E49-F49)</f>
        <v/>
      </c>
    </row>
    <row r="50" spans="1:19">
      <c r="A50" s="1" t="str">
        <f>CarSoll!$F$12</f>
        <v/>
      </c>
      <c r="B50" s="9" t="str">
        <f>IF(A50="","",IF(H42="",0,IF(H42="x",VLOOKUP(A50,CarSoll!$F$11:$S$19,IF(P44=1,9,4),FALSE),VLOOKUP(A50,CarSoll!$F$26:$S$34,IF(P44=1,9,4),FALSE))))</f>
        <v/>
      </c>
      <c r="C50" s="7" t="str">
        <f>IF(A50="","",IF(B44="di coltello",IF(P44=0,0,1)*B50*R42,IF(P44=0,0,IF(P44=1,0.1,0.3))*B50*R42)*1.5)</f>
        <v/>
      </c>
      <c r="D50" s="7" t="str">
        <f>IF(A50="","",C50*(1-P46))</f>
        <v/>
      </c>
      <c r="E50" s="16"/>
      <c r="F50" s="26" t="str">
        <f>IF(A50="","",IF(P44=1,IF(H42="x",VLOOKUP(A50,CarSoll!$F$11:$S$19,11,FALSE),VLOOKUP(A50,CarSoll!$F$26:$S$34,11,FALSE)),0)*R42)</f>
        <v/>
      </c>
      <c r="G50" s="24" t="str">
        <f t="shared" ref="G50:G57" si="6">D50</f>
        <v/>
      </c>
      <c r="H50" s="25" t="str">
        <f t="shared" ref="H50:H57" si="7">IF(A50="","",E50+F50)</f>
        <v/>
      </c>
      <c r="I50" s="26" t="str">
        <f t="shared" ref="I50:I57" si="8">IF(A50="","",E50-F50)</f>
        <v/>
      </c>
    </row>
    <row r="51" spans="1:19">
      <c r="A51" s="1" t="str">
        <f>CarSoll!$F$13</f>
        <v/>
      </c>
      <c r="B51" s="9" t="str">
        <f>IF(A51="","",IF(H42="",0,IF(H42="x",VLOOKUP(A51,CarSoll!$F$11:$S$19,IF(P44=1,9,4),FALSE),VLOOKUP(A51,CarSoll!$F$26:$S$34,IF(P44=1,9,4),FALSE))))</f>
        <v/>
      </c>
      <c r="C51" s="7" t="str">
        <f>IF(A51="","",IF(B44="di coltello",IF(P44=0,0,1)*B51*R42,IF(P44=0,0,IF(P44=1,0.1,0.3))*B51*R42)*1.5)</f>
        <v/>
      </c>
      <c r="D51" s="7" t="str">
        <f>IF(A51="","",C51*(1-P46))</f>
        <v/>
      </c>
      <c r="E51" s="16"/>
      <c r="F51" s="26" t="str">
        <f>IF(A51="","",IF(P44=1,IF(H42="x",VLOOKUP(A51,CarSoll!$F$11:$S$19,11,FALSE),VLOOKUP(A51,CarSoll!$F$26:$S$34,11,FALSE)),0)*R42)</f>
        <v/>
      </c>
      <c r="G51" s="24" t="str">
        <f t="shared" si="6"/>
        <v/>
      </c>
      <c r="H51" s="25" t="str">
        <f t="shared" si="7"/>
        <v/>
      </c>
      <c r="I51" s="26" t="str">
        <f t="shared" si="8"/>
        <v/>
      </c>
    </row>
    <row r="52" spans="1:19">
      <c r="A52" s="1" t="str">
        <f>CarSoll!$F$14</f>
        <v>5</v>
      </c>
      <c r="B52" s="9">
        <f>IF(A52="","",IF(H42="",0,IF(H42="x",VLOOKUP(A52,CarSoll!$F$11:$S$19,IF(P44=1,9,4),FALSE),VLOOKUP(A52,CarSoll!$F$26:$S$34,IF(P44=1,9,4),FALSE))))</f>
        <v>0</v>
      </c>
      <c r="C52" s="7">
        <f>IF(A52="","",IF(B44="di coltello",IF(P44=0,0,1)*B52*R42,IF(P44=0,0,IF(P44=1,0.1,0.3))*B52*R42)*1.5)</f>
        <v>0</v>
      </c>
      <c r="D52" s="7">
        <f>IF(A52="","",C52*(1-P46))</f>
        <v>0</v>
      </c>
      <c r="E52" s="16"/>
      <c r="F52" s="26">
        <f>IF(A52="","",IF(P44=1,IF(H42="x",VLOOKUP(A52,CarSoll!$F$11:$S$19,11,FALSE),VLOOKUP(A52,CarSoll!$F$26:$S$34,11,FALSE)),0)*R42)</f>
        <v>0</v>
      </c>
      <c r="G52" s="24">
        <f t="shared" si="6"/>
        <v>0</v>
      </c>
      <c r="H52" s="25">
        <f t="shared" si="7"/>
        <v>0</v>
      </c>
      <c r="I52" s="26">
        <f t="shared" si="8"/>
        <v>0</v>
      </c>
    </row>
    <row r="53" spans="1:19">
      <c r="A53" s="1" t="str">
        <f>CarSoll!$F$15</f>
        <v>4</v>
      </c>
      <c r="B53" s="9">
        <f>IF(A53="","",IF(H42="",0,IF(H42="x",VLOOKUP(A53,CarSoll!$F$11:$S$19,IF(P44=1,9,4),FALSE),VLOOKUP(A53,CarSoll!$F$26:$S$34,IF(P44=1,9,4),FALSE))))</f>
        <v>0</v>
      </c>
      <c r="C53" s="7">
        <f>IF(A53="","",IF(B44="di coltello",IF(P44=0,0,1)*B53*R42,IF(P44=0,0,IF(P44=1,0.1,0.3))*B53*R42)*1.5)</f>
        <v>0</v>
      </c>
      <c r="D53" s="7">
        <f>IF(A53="","",C53*(1-P46))</f>
        <v>0</v>
      </c>
      <c r="E53" s="16"/>
      <c r="F53" s="26">
        <f>IF(A53="","",IF(P44=1,IF(H42="x",VLOOKUP(A53,CarSoll!$F$11:$S$19,11,FALSE),VLOOKUP(A53,CarSoll!$F$26:$S$34,11,FALSE)),0)*R42)</f>
        <v>0</v>
      </c>
      <c r="G53" s="24">
        <f t="shared" si="6"/>
        <v>0</v>
      </c>
      <c r="H53" s="25">
        <f t="shared" si="7"/>
        <v>0</v>
      </c>
      <c r="I53" s="26">
        <f t="shared" si="8"/>
        <v>0</v>
      </c>
    </row>
    <row r="54" spans="1:19">
      <c r="A54" s="1" t="str">
        <f>CarSoll!$F$16</f>
        <v>3</v>
      </c>
      <c r="B54" s="9">
        <f>IF(A54="","",IF(H42="",0,IF(H42="x",VLOOKUP(A54,CarSoll!$F$11:$S$19,IF(P44=1,9,4),FALSE),VLOOKUP(A54,CarSoll!$F$26:$S$34,IF(P44=1,9,4),FALSE))))</f>
        <v>0</v>
      </c>
      <c r="C54" s="7">
        <f>IF(A54="","",IF(B44="di coltello",IF(P44=0,0,1)*B54*R42,IF(P44=0,0,IF(P44=1,0.1,0.3))*B54*R42)*1.5)</f>
        <v>0</v>
      </c>
      <c r="D54" s="7">
        <f>IF(A54="","",C54*(1-P46))</f>
        <v>0</v>
      </c>
      <c r="E54" s="16"/>
      <c r="F54" s="26">
        <f>IF(A54="","",IF(P44=1,IF(H42="x",VLOOKUP(A54,CarSoll!$F$11:$S$19,11,FALSE),VLOOKUP(A54,CarSoll!$F$26:$S$34,11,FALSE)),0)*R42)</f>
        <v>0</v>
      </c>
      <c r="G54" s="24">
        <f t="shared" si="6"/>
        <v>0</v>
      </c>
      <c r="H54" s="25">
        <f t="shared" si="7"/>
        <v>0</v>
      </c>
      <c r="I54" s="26">
        <f t="shared" si="8"/>
        <v>0</v>
      </c>
      <c r="L54" s="29" t="s">
        <v>152</v>
      </c>
    </row>
    <row r="55" spans="1:19">
      <c r="A55" s="1" t="str">
        <f>CarSoll!$F$17</f>
        <v>2</v>
      </c>
      <c r="B55" s="9">
        <f>IF(A55="","",IF(H42="",0,IF(H42="x",VLOOKUP(A55,CarSoll!$F$11:$S$19,IF(P44=1,9,4),FALSE),VLOOKUP(A55,CarSoll!$F$26:$S$34,IF(P44=1,9,4),FALSE))))</f>
        <v>0</v>
      </c>
      <c r="C55" s="7">
        <f>IF(A55="","",IF(B44="di coltello",IF(P44=0,0,1)*B55*R42,IF(P44=0,0,IF(P44=1,0.1,0.3))*B55*R42)*1.5)</f>
        <v>0</v>
      </c>
      <c r="D55" s="7">
        <f>IF(A55="","",C55*(1-P46))</f>
        <v>0</v>
      </c>
      <c r="E55" s="16"/>
      <c r="F55" s="26">
        <f>IF(A55="","",IF(P44=1,IF(H42="x",VLOOKUP(A55,CarSoll!$F$11:$S$19,11,FALSE),VLOOKUP(A55,CarSoll!$F$26:$S$34,11,FALSE)),0)*R42)</f>
        <v>0</v>
      </c>
      <c r="G55" s="24">
        <f t="shared" si="6"/>
        <v>0</v>
      </c>
      <c r="H55" s="25">
        <f t="shared" si="7"/>
        <v>0</v>
      </c>
      <c r="I55" s="26">
        <f t="shared" si="8"/>
        <v>0</v>
      </c>
      <c r="L55" s="163"/>
      <c r="M55" s="163"/>
      <c r="N55" s="163"/>
      <c r="O55" s="163"/>
      <c r="P55" s="163"/>
      <c r="Q55" s="163"/>
      <c r="R55" s="163"/>
    </row>
    <row r="56" spans="1:19">
      <c r="A56" s="1" t="str">
        <f>CarSoll!$F$18</f>
        <v>1 testa</v>
      </c>
      <c r="B56" s="9">
        <f>IF(A56="","",IF(H42="",0,IF(H42="x",VLOOKUP(A56,CarSoll!$F$11:$S$19,IF(P44=1,9,4),FALSE),VLOOKUP(A56,CarSoll!$F$26:$S$34,IF(P44=1,9,4),FALSE))))</f>
        <v>0</v>
      </c>
      <c r="C56" s="7">
        <f>IF(A56="","",IF(B44="di coltello",IF(P44=0,0,1)*B56*R42,IF(P44=0,0,IF(P44=1,0.1,0.3))*B56*R42)*IF(A56="1 testa",1.5,1))</f>
        <v>0</v>
      </c>
      <c r="D56" s="7">
        <f>IF(A56="","",C56*(1-P46))</f>
        <v>0</v>
      </c>
      <c r="E56" s="16"/>
      <c r="F56" s="26">
        <f>IF(A56="","",IF(P44=1,IF(A56="2 piede",F55,IF(H42="x",VLOOKUP(A56,CarSoll!$F$11:$S$19,11,FALSE),VLOOKUP(A56,CarSoll!$F$26:$S$34,11,FALSE))*R42),0))</f>
        <v>0</v>
      </c>
      <c r="G56" s="24">
        <f t="shared" si="6"/>
        <v>0</v>
      </c>
      <c r="H56" s="25">
        <f t="shared" si="7"/>
        <v>0</v>
      </c>
      <c r="I56" s="26">
        <f t="shared" si="8"/>
        <v>0</v>
      </c>
      <c r="L56" s="163"/>
      <c r="M56" s="163"/>
      <c r="N56" s="163"/>
      <c r="O56" s="163"/>
      <c r="P56" s="163"/>
      <c r="Q56" s="163"/>
      <c r="R56" s="163"/>
    </row>
    <row r="57" spans="1:19">
      <c r="A57" s="1" t="str">
        <f>CarSoll!$F$19</f>
        <v>1 piede</v>
      </c>
      <c r="B57" s="9">
        <f>IF(A57="","",IF(H42="",0,IF(H42="x",VLOOKUP(A57,CarSoll!$F$11:$S$19,IF(P44=1,9,4),FALSE),VLOOKUP(A57,CarSoll!$F$26:$S$34,IF(P44=1,9,4),FALSE))))</f>
        <v>0</v>
      </c>
      <c r="C57" s="7">
        <f>IF(A57="","",IF(B44="di coltello",IF(P44=0,0,1)*B57*R42,IF(P44=0,0,IF(P44=1,0.1,0.3))*B57*R42))</f>
        <v>0</v>
      </c>
      <c r="D57" s="7">
        <f>IF(A57="","",C57)</f>
        <v>0</v>
      </c>
      <c r="E57" s="16"/>
      <c r="F57" s="26">
        <f>IF(A57="","",F56)</f>
        <v>0</v>
      </c>
      <c r="G57" s="24">
        <f t="shared" si="6"/>
        <v>0</v>
      </c>
      <c r="H57" s="25">
        <f t="shared" si="7"/>
        <v>0</v>
      </c>
      <c r="I57" s="26">
        <f t="shared" si="8"/>
        <v>0</v>
      </c>
      <c r="L57" s="163"/>
      <c r="M57" s="163"/>
      <c r="N57" s="163"/>
      <c r="O57" s="163"/>
      <c r="P57" s="163"/>
      <c r="Q57" s="163"/>
      <c r="R57" s="163"/>
    </row>
    <row r="59" spans="1:19" ht="13.15">
      <c r="F59" s="18" t="s">
        <v>134</v>
      </c>
      <c r="G59" s="19" t="s">
        <v>133</v>
      </c>
      <c r="H59" s="19" t="s">
        <v>133</v>
      </c>
      <c r="I59" s="19" t="s">
        <v>133</v>
      </c>
    </row>
    <row r="60" spans="1:19">
      <c r="A60" s="20"/>
      <c r="B60" s="20"/>
      <c r="C60" s="20"/>
      <c r="D60" s="20"/>
      <c r="E60" s="20"/>
      <c r="F60" s="20"/>
      <c r="G60" s="21"/>
      <c r="H60" s="22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</row>
    <row r="62" spans="1:19" ht="13.15">
      <c r="A62" s="2" t="s">
        <v>118</v>
      </c>
      <c r="B62" s="15"/>
      <c r="G62" s="4" t="s">
        <v>119</v>
      </c>
      <c r="H62" s="27"/>
      <c r="K62" s="4" t="s">
        <v>106</v>
      </c>
      <c r="L62" s="164"/>
      <c r="M62" s="164"/>
      <c r="N62" s="164"/>
      <c r="O62" s="165"/>
      <c r="Q62" s="4" t="s">
        <v>108</v>
      </c>
      <c r="R62" s="5"/>
    </row>
    <row r="63" spans="1:19">
      <c r="R63" s="10" t="str">
        <f>IF(OR(AND(L62="molto vicino al baricentro",R62&gt;1.05),AND(L62="distanza intermedia dal baricentro",OR(R62&lt;1.05,R62&gt;1.15)),AND(L62="molto distante dal baricentro",R62&lt;1.15)),"sei sicuro?","")</f>
        <v/>
      </c>
    </row>
    <row r="64" spans="1:19">
      <c r="A64" s="4" t="s">
        <v>118</v>
      </c>
      <c r="B64" s="164"/>
      <c r="C64" s="165"/>
      <c r="D64" s="11">
        <f>IF(B64="di coltello",0,10)</f>
        <v>10</v>
      </c>
      <c r="L64" s="4" t="s">
        <v>120</v>
      </c>
      <c r="M64" s="164"/>
      <c r="N64" s="165"/>
      <c r="O64" s="165"/>
      <c r="P64" s="28" t="str">
        <f>IF(M64="","",IF(M64="due travi emergenti",2,IF(M64="una trave emergente",1,0))+D64)</f>
        <v/>
      </c>
    </row>
    <row r="65" spans="1:19">
      <c r="A65" s="10" t="str">
        <f>IF(B64="a spessore","momento da  sisma trascurabile","")</f>
        <v/>
      </c>
      <c r="B65" s="17"/>
      <c r="D65" s="10" t="str">
        <f>IF(A65&lt;&gt;"","",IF(AND(G64="più corta delle altre",P64&gt;0),"il momento da sisma può essere maggiore delle previsioni",IF(AND(G64="più lunga delle altre",P64&gt;0),"il momento da sisma è probabilmente minore delle previsioni", "")))</f>
        <v/>
      </c>
      <c r="M65" s="10" t="str">
        <f>IF(P64=0,"il momento da sisma è poco rilevante","")</f>
        <v/>
      </c>
    </row>
    <row r="66" spans="1:19">
      <c r="N66" s="4" t="s">
        <v>153</v>
      </c>
      <c r="O66" s="1" t="s">
        <v>121</v>
      </c>
      <c r="P66" s="13"/>
    </row>
    <row r="67" spans="1:19" ht="13.15">
      <c r="A67" s="1" t="s">
        <v>50</v>
      </c>
      <c r="B67" s="166" t="s">
        <v>126</v>
      </c>
      <c r="C67" s="167"/>
      <c r="D67" s="167"/>
      <c r="E67" s="8" t="s">
        <v>128</v>
      </c>
      <c r="F67" s="1" t="s">
        <v>129</v>
      </c>
      <c r="G67" s="23" t="s">
        <v>130</v>
      </c>
      <c r="H67" s="8" t="s">
        <v>131</v>
      </c>
      <c r="I67" s="1" t="s">
        <v>132</v>
      </c>
    </row>
    <row r="68" spans="1:19">
      <c r="B68" s="8" t="s">
        <v>114</v>
      </c>
      <c r="C68" s="1" t="s">
        <v>115</v>
      </c>
      <c r="D68" s="1" t="s">
        <v>116</v>
      </c>
      <c r="E68" s="8"/>
      <c r="F68" s="1"/>
      <c r="G68" s="23" t="s">
        <v>116</v>
      </c>
      <c r="H68" s="8"/>
      <c r="I68" s="1"/>
    </row>
    <row r="69" spans="1:19">
      <c r="A69" s="1" t="str">
        <f>CarSoll!$F$11</f>
        <v/>
      </c>
      <c r="B69" s="9" t="str">
        <f>IF(A69="","",IF(H62="",0,IF(H62="x",VLOOKUP(A69,CarSoll!$F$11:$S$19,IF(P64=1,9,4),FALSE),VLOOKUP(A69,CarSoll!$F$26:$S$34,IF(P64=1,9,4),FALSE))))</f>
        <v/>
      </c>
      <c r="C69" s="7" t="str">
        <f>IF(A69="","",IF(B64="di coltello",IF(P64=0,0,1)*B69*R62,IF(P64=0,0,IF(P64=1,0.1,0.3))*B69*R62)*1.5)</f>
        <v/>
      </c>
      <c r="D69" s="7" t="str">
        <f>IF(A69="","",C69*(1-P66))</f>
        <v/>
      </c>
      <c r="E69" s="16"/>
      <c r="F69" s="26" t="str">
        <f>IF(A69="","",IF(P64=1,IF(H62="x",VLOOKUP(A69,CarSoll!$F$11:$S$19,11,FALSE),VLOOKUP(A69,CarSoll!$F$26:$S$34,11,FALSE)),0)*R62)</f>
        <v/>
      </c>
      <c r="G69" s="24" t="str">
        <f>D69</f>
        <v/>
      </c>
      <c r="H69" s="25" t="str">
        <f>IF(A69="","",E69+F69)</f>
        <v/>
      </c>
      <c r="I69" s="26" t="str">
        <f>IF(A69="","",E69-F69)</f>
        <v/>
      </c>
    </row>
    <row r="70" spans="1:19">
      <c r="A70" s="1" t="str">
        <f>CarSoll!$F$12</f>
        <v/>
      </c>
      <c r="B70" s="9" t="str">
        <f>IF(A70="","",IF(H62="",0,IF(H62="x",VLOOKUP(A70,CarSoll!$F$11:$S$19,IF(P64=1,9,4),FALSE),VLOOKUP(A70,CarSoll!$F$26:$S$34,IF(P64=1,9,4),FALSE))))</f>
        <v/>
      </c>
      <c r="C70" s="7" t="str">
        <f>IF(A70="","",IF(B64="di coltello",IF(P64=0,0,1)*B70*R62,IF(P64=0,0,IF(P64=1,0.1,0.3))*B70*R62)*1.5)</f>
        <v/>
      </c>
      <c r="D70" s="7" t="str">
        <f>IF(A70="","",C70*(1-P66))</f>
        <v/>
      </c>
      <c r="E70" s="16"/>
      <c r="F70" s="26" t="str">
        <f>IF(A70="","",IF(P64=1,IF(H62="x",VLOOKUP(A70,CarSoll!$F$11:$S$19,11,FALSE),VLOOKUP(A70,CarSoll!$F$26:$S$34,11,FALSE)),0)*R62)</f>
        <v/>
      </c>
      <c r="G70" s="24" t="str">
        <f t="shared" ref="G70:G77" si="9">D70</f>
        <v/>
      </c>
      <c r="H70" s="25" t="str">
        <f t="shared" ref="H70:H77" si="10">IF(A70="","",E70+F70)</f>
        <v/>
      </c>
      <c r="I70" s="26" t="str">
        <f t="shared" ref="I70:I77" si="11">IF(A70="","",E70-F70)</f>
        <v/>
      </c>
    </row>
    <row r="71" spans="1:19">
      <c r="A71" s="1" t="str">
        <f>CarSoll!$F$13</f>
        <v/>
      </c>
      <c r="B71" s="9" t="str">
        <f>IF(A71="","",IF(H62="",0,IF(H62="x",VLOOKUP(A71,CarSoll!$F$11:$S$19,IF(P64=1,9,4),FALSE),VLOOKUP(A71,CarSoll!$F$26:$S$34,IF(P64=1,9,4),FALSE))))</f>
        <v/>
      </c>
      <c r="C71" s="7" t="str">
        <f>IF(A71="","",IF(B64="di coltello",IF(P64=0,0,1)*B71*R62,IF(P64=0,0,IF(P64=1,0.1,0.3))*B71*R62)*1.5)</f>
        <v/>
      </c>
      <c r="D71" s="7" t="str">
        <f>IF(A71="","",C71*(1-P66))</f>
        <v/>
      </c>
      <c r="E71" s="16"/>
      <c r="F71" s="26" t="str">
        <f>IF(A71="","",IF(P64=1,IF(H62="x",VLOOKUP(A71,CarSoll!$F$11:$S$19,11,FALSE),VLOOKUP(A71,CarSoll!$F$26:$S$34,11,FALSE)),0)*R62)</f>
        <v/>
      </c>
      <c r="G71" s="24" t="str">
        <f t="shared" si="9"/>
        <v/>
      </c>
      <c r="H71" s="25" t="str">
        <f t="shared" si="10"/>
        <v/>
      </c>
      <c r="I71" s="26" t="str">
        <f t="shared" si="11"/>
        <v/>
      </c>
    </row>
    <row r="72" spans="1:19">
      <c r="A72" s="1" t="str">
        <f>CarSoll!$F$14</f>
        <v>5</v>
      </c>
      <c r="B72" s="9">
        <f>IF(A72="","",IF(H62="",0,IF(H62="x",VLOOKUP(A72,CarSoll!$F$11:$S$19,IF(P64=1,9,4),FALSE),VLOOKUP(A72,CarSoll!$F$26:$S$34,IF(P64=1,9,4),FALSE))))</f>
        <v>0</v>
      </c>
      <c r="C72" s="7">
        <f>IF(A72="","",IF(B64="di coltello",IF(P64=0,0,1)*B72*R62,IF(P64=0,0,IF(P64=1,0.1,0.3))*B72*R62)*1.5)</f>
        <v>0</v>
      </c>
      <c r="D72" s="7">
        <f>IF(A72="","",C72*(1-P66))</f>
        <v>0</v>
      </c>
      <c r="E72" s="16"/>
      <c r="F72" s="26">
        <f>IF(A72="","",IF(P64=1,IF(H62="x",VLOOKUP(A72,CarSoll!$F$11:$S$19,11,FALSE),VLOOKUP(A72,CarSoll!$F$26:$S$34,11,FALSE)),0)*R62)</f>
        <v>0</v>
      </c>
      <c r="G72" s="24">
        <f t="shared" si="9"/>
        <v>0</v>
      </c>
      <c r="H72" s="25">
        <f t="shared" si="10"/>
        <v>0</v>
      </c>
      <c r="I72" s="26">
        <f t="shared" si="11"/>
        <v>0</v>
      </c>
    </row>
    <row r="73" spans="1:19">
      <c r="A73" s="1" t="str">
        <f>CarSoll!$F$15</f>
        <v>4</v>
      </c>
      <c r="B73" s="9">
        <f>IF(A73="","",IF(H62="",0,IF(H62="x",VLOOKUP(A73,CarSoll!$F$11:$S$19,IF(P64=1,9,4),FALSE),VLOOKUP(A73,CarSoll!$F$26:$S$34,IF(P64=1,9,4),FALSE))))</f>
        <v>0</v>
      </c>
      <c r="C73" s="7">
        <f>IF(A73="","",IF(B64="di coltello",IF(P64=0,0,1)*B73*R62,IF(P64=0,0,IF(P64=1,0.1,0.3))*B73*R62)*1.5)</f>
        <v>0</v>
      </c>
      <c r="D73" s="7">
        <f>IF(A73="","",C73*(1-P66))</f>
        <v>0</v>
      </c>
      <c r="E73" s="16"/>
      <c r="F73" s="26">
        <f>IF(A73="","",IF(P64=1,IF(H62="x",VLOOKUP(A73,CarSoll!$F$11:$S$19,11,FALSE),VLOOKUP(A73,CarSoll!$F$26:$S$34,11,FALSE)),0)*R62)</f>
        <v>0</v>
      </c>
      <c r="G73" s="24">
        <f t="shared" si="9"/>
        <v>0</v>
      </c>
      <c r="H73" s="25">
        <f t="shared" si="10"/>
        <v>0</v>
      </c>
      <c r="I73" s="26">
        <f t="shared" si="11"/>
        <v>0</v>
      </c>
    </row>
    <row r="74" spans="1:19">
      <c r="A74" s="1" t="str">
        <f>CarSoll!$F$16</f>
        <v>3</v>
      </c>
      <c r="B74" s="9">
        <f>IF(A74="","",IF(H62="",0,IF(H62="x",VLOOKUP(A74,CarSoll!$F$11:$S$19,IF(P64=1,9,4),FALSE),VLOOKUP(A74,CarSoll!$F$26:$S$34,IF(P64=1,9,4),FALSE))))</f>
        <v>0</v>
      </c>
      <c r="C74" s="7">
        <f>IF(A74="","",IF(B64="di coltello",IF(P64=0,0,1)*B74*R62,IF(P64=0,0,IF(P64=1,0.1,0.3))*B74*R62)*1.5)</f>
        <v>0</v>
      </c>
      <c r="D74" s="7">
        <f>IF(A74="","",C74*(1-P66))</f>
        <v>0</v>
      </c>
      <c r="E74" s="16"/>
      <c r="F74" s="26">
        <f>IF(A74="","",IF(P64=1,IF(H62="x",VLOOKUP(A74,CarSoll!$F$11:$S$19,11,FALSE),VLOOKUP(A74,CarSoll!$F$26:$S$34,11,FALSE)),0)*R62)</f>
        <v>0</v>
      </c>
      <c r="G74" s="24">
        <f t="shared" si="9"/>
        <v>0</v>
      </c>
      <c r="H74" s="25">
        <f t="shared" si="10"/>
        <v>0</v>
      </c>
      <c r="I74" s="26">
        <f t="shared" si="11"/>
        <v>0</v>
      </c>
      <c r="L74" s="29" t="s">
        <v>152</v>
      </c>
    </row>
    <row r="75" spans="1:19">
      <c r="A75" s="1" t="str">
        <f>CarSoll!$F$17</f>
        <v>2</v>
      </c>
      <c r="B75" s="9">
        <f>IF(A75="","",IF(H62="",0,IF(H62="x",VLOOKUP(A75,CarSoll!$F$11:$S$19,IF(P64=1,9,4),FALSE),VLOOKUP(A75,CarSoll!$F$26:$S$34,IF(P64=1,9,4),FALSE))))</f>
        <v>0</v>
      </c>
      <c r="C75" s="7">
        <f>IF(A75="","",IF(B64="di coltello",IF(P64=0,0,1)*B75*R62,IF(P64=0,0,IF(P64=1,0.1,0.3))*B75*R62)*1.5)</f>
        <v>0</v>
      </c>
      <c r="D75" s="7">
        <f>IF(A75="","",C75*(1-P66))</f>
        <v>0</v>
      </c>
      <c r="E75" s="16"/>
      <c r="F75" s="26">
        <f>IF(A75="","",IF(P64=1,IF(H62="x",VLOOKUP(A75,CarSoll!$F$11:$S$19,11,FALSE),VLOOKUP(A75,CarSoll!$F$26:$S$34,11,FALSE)),0)*R62)</f>
        <v>0</v>
      </c>
      <c r="G75" s="24">
        <f t="shared" si="9"/>
        <v>0</v>
      </c>
      <c r="H75" s="25">
        <f t="shared" si="10"/>
        <v>0</v>
      </c>
      <c r="I75" s="26">
        <f t="shared" si="11"/>
        <v>0</v>
      </c>
      <c r="L75" s="163"/>
      <c r="M75" s="163"/>
      <c r="N75" s="163"/>
      <c r="O75" s="163"/>
      <c r="P75" s="163"/>
      <c r="Q75" s="163"/>
      <c r="R75" s="163"/>
    </row>
    <row r="76" spans="1:19">
      <c r="A76" s="1" t="str">
        <f>CarSoll!$F$18</f>
        <v>1 testa</v>
      </c>
      <c r="B76" s="9">
        <f>IF(A76="","",IF(H62="",0,IF(H62="x",VLOOKUP(A76,CarSoll!$F$11:$S$19,IF(P64=1,9,4),FALSE),VLOOKUP(A76,CarSoll!$F$26:$S$34,IF(P64=1,9,4),FALSE))))</f>
        <v>0</v>
      </c>
      <c r="C76" s="7">
        <f>IF(A76="","",IF(B64="di coltello",IF(P64=0,0,1)*B76*R62,IF(P64=0,0,IF(P64=1,0.1,0.3))*B76*R62)*IF(A76="1 testa",1.5,1))</f>
        <v>0</v>
      </c>
      <c r="D76" s="7">
        <f>IF(A76="","",C76*(1-P66))</f>
        <v>0</v>
      </c>
      <c r="E76" s="16"/>
      <c r="F76" s="26">
        <f>IF(A76="","",IF(P64=1,IF(A76="2 piede",F75,IF(H62="x",VLOOKUP(A76,CarSoll!$F$11:$S$19,11,FALSE),VLOOKUP(A76,CarSoll!$F$26:$S$34,11,FALSE))*R62),0))</f>
        <v>0</v>
      </c>
      <c r="G76" s="24">
        <f t="shared" si="9"/>
        <v>0</v>
      </c>
      <c r="H76" s="25">
        <f t="shared" si="10"/>
        <v>0</v>
      </c>
      <c r="I76" s="26">
        <f t="shared" si="11"/>
        <v>0</v>
      </c>
      <c r="L76" s="163"/>
      <c r="M76" s="163"/>
      <c r="N76" s="163"/>
      <c r="O76" s="163"/>
      <c r="P76" s="163"/>
      <c r="Q76" s="163"/>
      <c r="R76" s="163"/>
    </row>
    <row r="77" spans="1:19">
      <c r="A77" s="1" t="str">
        <f>CarSoll!$F$19</f>
        <v>1 piede</v>
      </c>
      <c r="B77" s="9">
        <f>IF(A77="","",IF(H62="",0,IF(H62="x",VLOOKUP(A77,CarSoll!$F$11:$S$19,IF(P64=1,9,4),FALSE),VLOOKUP(A77,CarSoll!$F$26:$S$34,IF(P64=1,9,4),FALSE))))</f>
        <v>0</v>
      </c>
      <c r="C77" s="7">
        <f>IF(A77="","",IF(B64="di coltello",IF(P64=0,0,1)*B77*R62,IF(P64=0,0,IF(P64=1,0.1,0.3))*B77*R62))</f>
        <v>0</v>
      </c>
      <c r="D77" s="7">
        <f>IF(A77="","",C77)</f>
        <v>0</v>
      </c>
      <c r="E77" s="16"/>
      <c r="F77" s="26">
        <f>IF(A77="","",F76)</f>
        <v>0</v>
      </c>
      <c r="G77" s="24">
        <f t="shared" si="9"/>
        <v>0</v>
      </c>
      <c r="H77" s="25">
        <f t="shared" si="10"/>
        <v>0</v>
      </c>
      <c r="I77" s="26">
        <f t="shared" si="11"/>
        <v>0</v>
      </c>
      <c r="L77" s="163"/>
      <c r="M77" s="163"/>
      <c r="N77" s="163"/>
      <c r="O77" s="163"/>
      <c r="P77" s="163"/>
      <c r="Q77" s="163"/>
      <c r="R77" s="163"/>
    </row>
    <row r="79" spans="1:19" ht="13.15">
      <c r="F79" s="18" t="s">
        <v>134</v>
      </c>
      <c r="G79" s="19" t="s">
        <v>133</v>
      </c>
      <c r="H79" s="19" t="s">
        <v>133</v>
      </c>
      <c r="I79" s="19" t="s">
        <v>133</v>
      </c>
    </row>
    <row r="80" spans="1:19">
      <c r="A80" s="20"/>
      <c r="B80" s="20"/>
      <c r="C80" s="20"/>
      <c r="D80" s="20"/>
      <c r="E80" s="20"/>
      <c r="F80" s="20"/>
      <c r="G80" s="21"/>
      <c r="H80" s="22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</row>
    <row r="82" spans="1:18" ht="13.15">
      <c r="A82" s="2" t="s">
        <v>118</v>
      </c>
      <c r="B82" s="15"/>
      <c r="G82" s="4" t="s">
        <v>119</v>
      </c>
      <c r="H82" s="27"/>
      <c r="K82" s="4" t="s">
        <v>106</v>
      </c>
      <c r="L82" s="164"/>
      <c r="M82" s="164"/>
      <c r="N82" s="164"/>
      <c r="O82" s="165"/>
      <c r="Q82" s="4" t="s">
        <v>108</v>
      </c>
      <c r="R82" s="5"/>
    </row>
    <row r="83" spans="1:18">
      <c r="R83" s="10" t="str">
        <f>IF(OR(AND(L82="molto vicino al baricentro",R82&gt;1.05),AND(L82="distanza intermedia dal baricentro",OR(R82&lt;1.05,R82&gt;1.15)),AND(L82="molto distante dal baricentro",R82&lt;1.15)),"sei sicuro?","")</f>
        <v/>
      </c>
    </row>
    <row r="84" spans="1:18">
      <c r="A84" s="4" t="s">
        <v>118</v>
      </c>
      <c r="B84" s="164"/>
      <c r="C84" s="165"/>
      <c r="D84" s="11">
        <f>IF(B84="di coltello",0,10)</f>
        <v>10</v>
      </c>
      <c r="L84" s="4" t="s">
        <v>120</v>
      </c>
      <c r="M84" s="164"/>
      <c r="N84" s="165"/>
      <c r="O84" s="165"/>
      <c r="P84" s="28" t="str">
        <f>IF(M84="","",IF(M84="due travi emergenti",2,IF(M84="una trave emergente",1,0))+D84)</f>
        <v/>
      </c>
    </row>
    <row r="85" spans="1:18">
      <c r="A85" s="10" t="str">
        <f>IF(B84="a spessore","momento da  sisma trascurabile","")</f>
        <v/>
      </c>
      <c r="B85" s="17"/>
      <c r="D85" s="10" t="str">
        <f>IF(A85&lt;&gt;"","",IF(AND(G84="più corta delle altre",P84&gt;0),"il momento da sisma può essere maggiore delle previsioni",IF(AND(G84="più lunga delle altre",P84&gt;0),"il momento da sisma è probabilmente minore delle previsioni", "")))</f>
        <v/>
      </c>
      <c r="M85" s="10" t="str">
        <f>IF(P84=0,"il momento da sisma è poco rilevante","")</f>
        <v/>
      </c>
    </row>
    <row r="86" spans="1:18">
      <c r="N86" s="4" t="s">
        <v>153</v>
      </c>
      <c r="O86" s="1" t="s">
        <v>121</v>
      </c>
      <c r="P86" s="13"/>
    </row>
    <row r="87" spans="1:18" ht="13.15">
      <c r="A87" s="1" t="s">
        <v>50</v>
      </c>
      <c r="B87" s="166" t="s">
        <v>126</v>
      </c>
      <c r="C87" s="167"/>
      <c r="D87" s="167"/>
      <c r="E87" s="8" t="s">
        <v>128</v>
      </c>
      <c r="F87" s="1" t="s">
        <v>129</v>
      </c>
      <c r="G87" s="23" t="s">
        <v>130</v>
      </c>
      <c r="H87" s="8" t="s">
        <v>131</v>
      </c>
      <c r="I87" s="1" t="s">
        <v>132</v>
      </c>
    </row>
    <row r="88" spans="1:18">
      <c r="B88" s="8" t="s">
        <v>114</v>
      </c>
      <c r="C88" s="1" t="s">
        <v>115</v>
      </c>
      <c r="D88" s="1" t="s">
        <v>116</v>
      </c>
      <c r="E88" s="8"/>
      <c r="F88" s="1"/>
      <c r="G88" s="23" t="s">
        <v>116</v>
      </c>
      <c r="H88" s="8"/>
      <c r="I88" s="1"/>
    </row>
    <row r="89" spans="1:18">
      <c r="A89" s="1" t="str">
        <f>CarSoll!$F$11</f>
        <v/>
      </c>
      <c r="B89" s="9" t="str">
        <f>IF(A89="","",IF(H82="",0,IF(H82="x",VLOOKUP(A89,CarSoll!$F$11:$S$19,IF(P84=1,9,4),FALSE),VLOOKUP(A89,CarSoll!$F$26:$S$34,IF(P84=1,9,4),FALSE))))</f>
        <v/>
      </c>
      <c r="C89" s="7" t="str">
        <f>IF(A89="","",IF(B84="di coltello",IF(P84=0,0,1)*B89*R82,IF(P84=0,0,IF(P84=1,0.1,0.3))*B89*R82)*1.5)</f>
        <v/>
      </c>
      <c r="D89" s="7" t="str">
        <f>IF(A89="","",C89*(1-P86))</f>
        <v/>
      </c>
      <c r="E89" s="16"/>
      <c r="F89" s="26" t="str">
        <f>IF(A89="","",IF(P84=1,IF(H82="x",VLOOKUP(A89,CarSoll!$F$11:$S$19,11,FALSE),VLOOKUP(A89,CarSoll!$F$26:$S$34,11,FALSE)),0)*R82)</f>
        <v/>
      </c>
      <c r="G89" s="24" t="str">
        <f>D89</f>
        <v/>
      </c>
      <c r="H89" s="25" t="str">
        <f>IF(A89="","",E89+F89)</f>
        <v/>
      </c>
      <c r="I89" s="26" t="str">
        <f>IF(A89="","",E89-F89)</f>
        <v/>
      </c>
    </row>
    <row r="90" spans="1:18">
      <c r="A90" s="1" t="str">
        <f>CarSoll!$F$12</f>
        <v/>
      </c>
      <c r="B90" s="9" t="str">
        <f>IF(A90="","",IF(H82="",0,IF(H82="x",VLOOKUP(A90,CarSoll!$F$11:$S$19,IF(P84=1,9,4),FALSE),VLOOKUP(A90,CarSoll!$F$26:$S$34,IF(P84=1,9,4),FALSE))))</f>
        <v/>
      </c>
      <c r="C90" s="7" t="str">
        <f>IF(A90="","",IF(B84="di coltello",IF(P84=0,0,1)*B90*R82,IF(P84=0,0,IF(P84=1,0.1,0.3))*B90*R82)*1.5)</f>
        <v/>
      </c>
      <c r="D90" s="7" t="str">
        <f>IF(A90="","",C90*(1-P86))</f>
        <v/>
      </c>
      <c r="E90" s="16"/>
      <c r="F90" s="26" t="str">
        <f>IF(A90="","",IF(P84=1,IF(H82="x",VLOOKUP(A90,CarSoll!$F$11:$S$19,11,FALSE),VLOOKUP(A90,CarSoll!$F$26:$S$34,11,FALSE)),0)*R82)</f>
        <v/>
      </c>
      <c r="G90" s="24" t="str">
        <f t="shared" ref="G90:G97" si="12">D90</f>
        <v/>
      </c>
      <c r="H90" s="25" t="str">
        <f t="shared" ref="H90:H97" si="13">IF(A90="","",E90+F90)</f>
        <v/>
      </c>
      <c r="I90" s="26" t="str">
        <f t="shared" ref="I90:I97" si="14">IF(A90="","",E90-F90)</f>
        <v/>
      </c>
    </row>
    <row r="91" spans="1:18">
      <c r="A91" s="1" t="str">
        <f>CarSoll!$F$13</f>
        <v/>
      </c>
      <c r="B91" s="9" t="str">
        <f>IF(A91="","",IF(H82="",0,IF(H82="x",VLOOKUP(A91,CarSoll!$F$11:$S$19,IF(P84=1,9,4),FALSE),VLOOKUP(A91,CarSoll!$F$26:$S$34,IF(P84=1,9,4),FALSE))))</f>
        <v/>
      </c>
      <c r="C91" s="7" t="str">
        <f>IF(A91="","",IF(B84="di coltello",IF(P84=0,0,1)*B91*R82,IF(P84=0,0,IF(P84=1,0.1,0.3))*B91*R82)*1.5)</f>
        <v/>
      </c>
      <c r="D91" s="7" t="str">
        <f>IF(A91="","",C91*(1-P86))</f>
        <v/>
      </c>
      <c r="E91" s="16"/>
      <c r="F91" s="26" t="str">
        <f>IF(A91="","",IF(P84=1,IF(H82="x",VLOOKUP(A91,CarSoll!$F$11:$S$19,11,FALSE),VLOOKUP(A91,CarSoll!$F$26:$S$34,11,FALSE)),0)*R82)</f>
        <v/>
      </c>
      <c r="G91" s="24" t="str">
        <f t="shared" si="12"/>
        <v/>
      </c>
      <c r="H91" s="25" t="str">
        <f t="shared" si="13"/>
        <v/>
      </c>
      <c r="I91" s="26" t="str">
        <f t="shared" si="14"/>
        <v/>
      </c>
    </row>
    <row r="92" spans="1:18">
      <c r="A92" s="1" t="str">
        <f>CarSoll!$F$14</f>
        <v>5</v>
      </c>
      <c r="B92" s="9">
        <f>IF(A92="","",IF(H82="",0,IF(H82="x",VLOOKUP(A92,CarSoll!$F$11:$S$19,IF(P84=1,9,4),FALSE),VLOOKUP(A92,CarSoll!$F$26:$S$34,IF(P84=1,9,4),FALSE))))</f>
        <v>0</v>
      </c>
      <c r="C92" s="7">
        <f>IF(A92="","",IF(B84="di coltello",IF(P84=0,0,1)*B92*R82,IF(P84=0,0,IF(P84=1,0.1,0.3))*B92*R82)*1.5)</f>
        <v>0</v>
      </c>
      <c r="D92" s="7">
        <f>IF(A92="","",C92*(1-P86))</f>
        <v>0</v>
      </c>
      <c r="E92" s="16"/>
      <c r="F92" s="26">
        <f>IF(A92="","",IF(P84=1,IF(H82="x",VLOOKUP(A92,CarSoll!$F$11:$S$19,11,FALSE),VLOOKUP(A92,CarSoll!$F$26:$S$34,11,FALSE)),0)*R82)</f>
        <v>0</v>
      </c>
      <c r="G92" s="24">
        <f t="shared" si="12"/>
        <v>0</v>
      </c>
      <c r="H92" s="25">
        <f t="shared" si="13"/>
        <v>0</v>
      </c>
      <c r="I92" s="26">
        <f t="shared" si="14"/>
        <v>0</v>
      </c>
    </row>
    <row r="93" spans="1:18">
      <c r="A93" s="1" t="str">
        <f>CarSoll!$F$15</f>
        <v>4</v>
      </c>
      <c r="B93" s="9">
        <f>IF(A93="","",IF(H82="",0,IF(H82="x",VLOOKUP(A93,CarSoll!$F$11:$S$19,IF(P84=1,9,4),FALSE),VLOOKUP(A93,CarSoll!$F$26:$S$34,IF(P84=1,9,4),FALSE))))</f>
        <v>0</v>
      </c>
      <c r="C93" s="7">
        <f>IF(A93="","",IF(B84="di coltello",IF(P84=0,0,1)*B93*R82,IF(P84=0,0,IF(P84=1,0.1,0.3))*B93*R82)*1.5)</f>
        <v>0</v>
      </c>
      <c r="D93" s="7">
        <f>IF(A93="","",C93*(1-P86))</f>
        <v>0</v>
      </c>
      <c r="E93" s="16"/>
      <c r="F93" s="26">
        <f>IF(A93="","",IF(P84=1,IF(H82="x",VLOOKUP(A93,CarSoll!$F$11:$S$19,11,FALSE),VLOOKUP(A93,CarSoll!$F$26:$S$34,11,FALSE)),0)*R82)</f>
        <v>0</v>
      </c>
      <c r="G93" s="24">
        <f t="shared" si="12"/>
        <v>0</v>
      </c>
      <c r="H93" s="25">
        <f t="shared" si="13"/>
        <v>0</v>
      </c>
      <c r="I93" s="26">
        <f t="shared" si="14"/>
        <v>0</v>
      </c>
    </row>
    <row r="94" spans="1:18">
      <c r="A94" s="1" t="str">
        <f>CarSoll!$F$16</f>
        <v>3</v>
      </c>
      <c r="B94" s="9">
        <f>IF(A94="","",IF(H82="",0,IF(H82="x",VLOOKUP(A94,CarSoll!$F$11:$S$19,IF(P84=1,9,4),FALSE),VLOOKUP(A94,CarSoll!$F$26:$S$34,IF(P84=1,9,4),FALSE))))</f>
        <v>0</v>
      </c>
      <c r="C94" s="7">
        <f>IF(A94="","",IF(B84="di coltello",IF(P84=0,0,1)*B94*R82,IF(P84=0,0,IF(P84=1,0.1,0.3))*B94*R82)*1.5)</f>
        <v>0</v>
      </c>
      <c r="D94" s="7">
        <f>IF(A94="","",C94*(1-P86))</f>
        <v>0</v>
      </c>
      <c r="E94" s="16"/>
      <c r="F94" s="26">
        <f>IF(A94="","",IF(P84=1,IF(H82="x",VLOOKUP(A94,CarSoll!$F$11:$S$19,11,FALSE),VLOOKUP(A94,CarSoll!$F$26:$S$34,11,FALSE)),0)*R82)</f>
        <v>0</v>
      </c>
      <c r="G94" s="24">
        <f t="shared" si="12"/>
        <v>0</v>
      </c>
      <c r="H94" s="25">
        <f t="shared" si="13"/>
        <v>0</v>
      </c>
      <c r="I94" s="26">
        <f t="shared" si="14"/>
        <v>0</v>
      </c>
      <c r="L94" s="29" t="s">
        <v>152</v>
      </c>
    </row>
    <row r="95" spans="1:18">
      <c r="A95" s="1" t="str">
        <f>CarSoll!$F$17</f>
        <v>2</v>
      </c>
      <c r="B95" s="9">
        <f>IF(A95="","",IF(H82="",0,IF(H82="x",VLOOKUP(A95,CarSoll!$F$11:$S$19,IF(P84=1,9,4),FALSE),VLOOKUP(A95,CarSoll!$F$26:$S$34,IF(P84=1,9,4),FALSE))))</f>
        <v>0</v>
      </c>
      <c r="C95" s="7">
        <f>IF(A95="","",IF(B84="di coltello",IF(P84=0,0,1)*B95*R82,IF(P84=0,0,IF(P84=1,0.1,0.3))*B95*R82)*1.5)</f>
        <v>0</v>
      </c>
      <c r="D95" s="7">
        <f>IF(A95="","",C95*(1-P86))</f>
        <v>0</v>
      </c>
      <c r="E95" s="16"/>
      <c r="F95" s="26">
        <f>IF(A95="","",IF(P84=1,IF(H82="x",VLOOKUP(A95,CarSoll!$F$11:$S$19,11,FALSE),VLOOKUP(A95,CarSoll!$F$26:$S$34,11,FALSE)),0)*R82)</f>
        <v>0</v>
      </c>
      <c r="G95" s="24">
        <f t="shared" si="12"/>
        <v>0</v>
      </c>
      <c r="H95" s="25">
        <f t="shared" si="13"/>
        <v>0</v>
      </c>
      <c r="I95" s="26">
        <f t="shared" si="14"/>
        <v>0</v>
      </c>
      <c r="L95" s="163"/>
      <c r="M95" s="163"/>
      <c r="N95" s="163"/>
      <c r="O95" s="163"/>
      <c r="P95" s="163"/>
      <c r="Q95" s="163"/>
      <c r="R95" s="163"/>
    </row>
    <row r="96" spans="1:18">
      <c r="A96" s="1" t="str">
        <f>CarSoll!$F$18</f>
        <v>1 testa</v>
      </c>
      <c r="B96" s="9">
        <f>IF(A96="","",IF(H82="",0,IF(H82="x",VLOOKUP(A96,CarSoll!$F$11:$S$19,IF(P84=1,9,4),FALSE),VLOOKUP(A96,CarSoll!$F$26:$S$34,IF(P84=1,9,4),FALSE))))</f>
        <v>0</v>
      </c>
      <c r="C96" s="7">
        <f>IF(A96="","",IF(B84="di coltello",IF(P84=0,0,1)*B96*R82,IF(P84=0,0,IF(P84=1,0.1,0.3))*B96*R82)*IF(A96="1 testa",1.5,1))</f>
        <v>0</v>
      </c>
      <c r="D96" s="7">
        <f>IF(A96="","",C96*(1-P86))</f>
        <v>0</v>
      </c>
      <c r="E96" s="16"/>
      <c r="F96" s="26">
        <f>IF(A96="","",IF(P84=1,IF(A96="2 piede",F95,IF(H82="x",VLOOKUP(A96,CarSoll!$F$11:$S$19,11,FALSE),VLOOKUP(A96,CarSoll!$F$26:$S$34,11,FALSE))*R82),0))</f>
        <v>0</v>
      </c>
      <c r="G96" s="24">
        <f t="shared" si="12"/>
        <v>0</v>
      </c>
      <c r="H96" s="25">
        <f t="shared" si="13"/>
        <v>0</v>
      </c>
      <c r="I96" s="26">
        <f t="shared" si="14"/>
        <v>0</v>
      </c>
      <c r="L96" s="163"/>
      <c r="M96" s="163"/>
      <c r="N96" s="163"/>
      <c r="O96" s="163"/>
      <c r="P96" s="163"/>
      <c r="Q96" s="163"/>
      <c r="R96" s="163"/>
    </row>
    <row r="97" spans="1:19">
      <c r="A97" s="1" t="str">
        <f>CarSoll!$F$19</f>
        <v>1 piede</v>
      </c>
      <c r="B97" s="9">
        <f>IF(A97="","",IF(H82="",0,IF(H82="x",VLOOKUP(A97,CarSoll!$F$11:$S$19,IF(P84=1,9,4),FALSE),VLOOKUP(A97,CarSoll!$F$26:$S$34,IF(P84=1,9,4),FALSE))))</f>
        <v>0</v>
      </c>
      <c r="C97" s="7">
        <f>IF(A97="","",IF(B84="di coltello",IF(P84=0,0,1)*B97*R82,IF(P84=0,0,IF(P84=1,0.1,0.3))*B97*R82))</f>
        <v>0</v>
      </c>
      <c r="D97" s="7">
        <f>IF(A97="","",C97)</f>
        <v>0</v>
      </c>
      <c r="E97" s="16"/>
      <c r="F97" s="26">
        <f>IF(A97="","",F96)</f>
        <v>0</v>
      </c>
      <c r="G97" s="24">
        <f t="shared" si="12"/>
        <v>0</v>
      </c>
      <c r="H97" s="25">
        <f t="shared" si="13"/>
        <v>0</v>
      </c>
      <c r="I97" s="26">
        <f t="shared" si="14"/>
        <v>0</v>
      </c>
      <c r="L97" s="163"/>
      <c r="M97" s="163"/>
      <c r="N97" s="163"/>
      <c r="O97" s="163"/>
      <c r="P97" s="163"/>
      <c r="Q97" s="163"/>
      <c r="R97" s="163"/>
    </row>
    <row r="99" spans="1:19" ht="13.15">
      <c r="F99" s="18" t="s">
        <v>134</v>
      </c>
      <c r="G99" s="19" t="s">
        <v>133</v>
      </c>
      <c r="H99" s="19" t="s">
        <v>133</v>
      </c>
      <c r="I99" s="19" t="s">
        <v>133</v>
      </c>
    </row>
    <row r="100" spans="1:19">
      <c r="A100" s="20"/>
      <c r="B100" s="20"/>
      <c r="C100" s="20"/>
      <c r="D100" s="20"/>
      <c r="E100" s="20"/>
      <c r="F100" s="20"/>
      <c r="G100" s="21"/>
      <c r="H100" s="22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</row>
    <row r="102" spans="1:19" ht="13.15">
      <c r="A102" s="2" t="s">
        <v>118</v>
      </c>
      <c r="B102" s="15"/>
      <c r="G102" s="4" t="s">
        <v>119</v>
      </c>
      <c r="H102" s="27"/>
      <c r="K102" s="4" t="s">
        <v>106</v>
      </c>
      <c r="L102" s="164"/>
      <c r="M102" s="164"/>
      <c r="N102" s="164"/>
      <c r="O102" s="165"/>
      <c r="Q102" s="4" t="s">
        <v>108</v>
      </c>
      <c r="R102" s="5"/>
    </row>
    <row r="103" spans="1:19">
      <c r="R103" s="10" t="str">
        <f>IF(OR(AND(L102="molto vicino al baricentro",R102&gt;1.05),AND(L102="distanza intermedia dal baricentro",OR(R102&lt;1.05,R102&gt;1.15)),AND(L102="molto distante dal baricentro",R102&lt;1.15)),"sei sicuro?","")</f>
        <v/>
      </c>
    </row>
    <row r="104" spans="1:19">
      <c r="A104" s="4" t="s">
        <v>118</v>
      </c>
      <c r="B104" s="164"/>
      <c r="C104" s="165"/>
      <c r="D104" s="11">
        <f>IF(B104="di coltello",0,10)</f>
        <v>10</v>
      </c>
      <c r="L104" s="4" t="s">
        <v>120</v>
      </c>
      <c r="M104" s="164"/>
      <c r="N104" s="165"/>
      <c r="O104" s="165"/>
      <c r="P104" s="28" t="str">
        <f>IF(M104="","",IF(M104="due travi emergenti",2,IF(M104="una trave emergente",1,0))+D104)</f>
        <v/>
      </c>
    </row>
    <row r="105" spans="1:19">
      <c r="A105" s="10" t="str">
        <f>IF(B104="a spessore","momento da  sisma trascurabile","")</f>
        <v/>
      </c>
      <c r="B105" s="17"/>
      <c r="D105" s="10" t="str">
        <f>IF(A105&lt;&gt;"","",IF(AND(G104="più corta delle altre",P104&gt;0),"il momento da sisma può essere maggiore delle previsioni",IF(AND(G104="più lunga delle altre",P104&gt;0),"il momento da sisma è probabilmente minore delle previsioni", "")))</f>
        <v/>
      </c>
      <c r="M105" s="10" t="str">
        <f>IF(P104=0,"il momento da sisma è poco rilevante","")</f>
        <v/>
      </c>
    </row>
    <row r="106" spans="1:19">
      <c r="N106" s="4" t="s">
        <v>153</v>
      </c>
      <c r="O106" s="1" t="s">
        <v>121</v>
      </c>
      <c r="P106" s="13"/>
    </row>
    <row r="107" spans="1:19" ht="13.15">
      <c r="A107" s="1" t="s">
        <v>50</v>
      </c>
      <c r="B107" s="166" t="s">
        <v>126</v>
      </c>
      <c r="C107" s="167"/>
      <c r="D107" s="167"/>
      <c r="E107" s="8" t="s">
        <v>128</v>
      </c>
      <c r="F107" s="1" t="s">
        <v>129</v>
      </c>
      <c r="G107" s="23" t="s">
        <v>130</v>
      </c>
      <c r="H107" s="8" t="s">
        <v>131</v>
      </c>
      <c r="I107" s="1" t="s">
        <v>132</v>
      </c>
    </row>
    <row r="108" spans="1:19">
      <c r="B108" s="8" t="s">
        <v>114</v>
      </c>
      <c r="C108" s="1" t="s">
        <v>115</v>
      </c>
      <c r="D108" s="1" t="s">
        <v>116</v>
      </c>
      <c r="E108" s="8"/>
      <c r="F108" s="1"/>
      <c r="G108" s="23" t="s">
        <v>116</v>
      </c>
      <c r="H108" s="8"/>
      <c r="I108" s="1"/>
    </row>
    <row r="109" spans="1:19">
      <c r="A109" s="1" t="str">
        <f>CarSoll!$F$11</f>
        <v/>
      </c>
      <c r="B109" s="9" t="str">
        <f>IF(A109="","",IF(H102="",0,IF(H102="x",VLOOKUP(A109,CarSoll!$F$11:$S$19,IF(P104=1,9,4),FALSE),VLOOKUP(A109,CarSoll!$F$26:$S$34,IF(P104=1,9,4),FALSE))))</f>
        <v/>
      </c>
      <c r="C109" s="7" t="str">
        <f>IF(A109="","",IF(B104="di coltello",IF(P104=0,0,1)*B109*R102,IF(P104=0,0,IF(P104=1,0.1,0.3))*B109*R102)*1.5)</f>
        <v/>
      </c>
      <c r="D109" s="7" t="str">
        <f>IF(A109="","",C109*(1-P106))</f>
        <v/>
      </c>
      <c r="E109" s="16"/>
      <c r="F109" s="26" t="str">
        <f>IF(A109="","",IF(P104=1,IF(H102="x",VLOOKUP(A109,CarSoll!$F$11:$S$19,11,FALSE),VLOOKUP(A109,CarSoll!$F$26:$S$34,11,FALSE)),0)*R102)</f>
        <v/>
      </c>
      <c r="G109" s="24" t="str">
        <f>D109</f>
        <v/>
      </c>
      <c r="H109" s="25" t="str">
        <f>IF(A109="","",E109+F109)</f>
        <v/>
      </c>
      <c r="I109" s="26" t="str">
        <f>IF(A109="","",E109-F109)</f>
        <v/>
      </c>
    </row>
    <row r="110" spans="1:19">
      <c r="A110" s="1" t="str">
        <f>CarSoll!$F$12</f>
        <v/>
      </c>
      <c r="B110" s="9" t="str">
        <f>IF(A110="","",IF(H102="",0,IF(H102="x",VLOOKUP(A110,CarSoll!$F$11:$S$19,IF(P104=1,9,4),FALSE),VLOOKUP(A110,CarSoll!$F$26:$S$34,IF(P104=1,9,4),FALSE))))</f>
        <v/>
      </c>
      <c r="C110" s="7" t="str">
        <f>IF(A110="","",IF(B104="di coltello",IF(P104=0,0,1)*B110*R102,IF(P104=0,0,IF(P104=1,0.1,0.3))*B110*R102)*1.5)</f>
        <v/>
      </c>
      <c r="D110" s="7" t="str">
        <f>IF(A110="","",C110*(1-P106))</f>
        <v/>
      </c>
      <c r="E110" s="16"/>
      <c r="F110" s="26" t="str">
        <f>IF(A110="","",IF(P104=1,IF(H102="x",VLOOKUP(A110,CarSoll!$F$11:$S$19,11,FALSE),VLOOKUP(A110,CarSoll!$F$26:$S$34,11,FALSE)),0)*R102)</f>
        <v/>
      </c>
      <c r="G110" s="24" t="str">
        <f t="shared" ref="G110:G117" si="15">D110</f>
        <v/>
      </c>
      <c r="H110" s="25" t="str">
        <f t="shared" ref="H110:H117" si="16">IF(A110="","",E110+F110)</f>
        <v/>
      </c>
      <c r="I110" s="26" t="str">
        <f t="shared" ref="I110:I117" si="17">IF(A110="","",E110-F110)</f>
        <v/>
      </c>
    </row>
    <row r="111" spans="1:19">
      <c r="A111" s="1" t="str">
        <f>CarSoll!$F$13</f>
        <v/>
      </c>
      <c r="B111" s="9" t="str">
        <f>IF(A111="","",IF(H102="",0,IF(H102="x",VLOOKUP(A111,CarSoll!$F$11:$S$19,IF(P104=1,9,4),FALSE),VLOOKUP(A111,CarSoll!$F$26:$S$34,IF(P104=1,9,4),FALSE))))</f>
        <v/>
      </c>
      <c r="C111" s="7" t="str">
        <f>IF(A111="","",IF(B104="di coltello",IF(P104=0,0,1)*B111*R102,IF(P104=0,0,IF(P104=1,0.1,0.3))*B111*R102)*1.5)</f>
        <v/>
      </c>
      <c r="D111" s="7" t="str">
        <f>IF(A111="","",C111*(1-P106))</f>
        <v/>
      </c>
      <c r="E111" s="16"/>
      <c r="F111" s="26" t="str">
        <f>IF(A111="","",IF(P104=1,IF(H102="x",VLOOKUP(A111,CarSoll!$F$11:$S$19,11,FALSE),VLOOKUP(A111,CarSoll!$F$26:$S$34,11,FALSE)),0)*R102)</f>
        <v/>
      </c>
      <c r="G111" s="24" t="str">
        <f t="shared" si="15"/>
        <v/>
      </c>
      <c r="H111" s="25" t="str">
        <f t="shared" si="16"/>
        <v/>
      </c>
      <c r="I111" s="26" t="str">
        <f t="shared" si="17"/>
        <v/>
      </c>
    </row>
    <row r="112" spans="1:19">
      <c r="A112" s="1" t="str">
        <f>CarSoll!$F$14</f>
        <v>5</v>
      </c>
      <c r="B112" s="9">
        <f>IF(A112="","",IF(H102="",0,IF(H102="x",VLOOKUP(A112,CarSoll!$F$11:$S$19,IF(P104=1,9,4),FALSE),VLOOKUP(A112,CarSoll!$F$26:$S$34,IF(P104=1,9,4),FALSE))))</f>
        <v>0</v>
      </c>
      <c r="C112" s="7">
        <f>IF(A112="","",IF(B104="di coltello",IF(P104=0,0,1)*B112*R102,IF(P104=0,0,IF(P104=1,0.1,0.3))*B112*R102)*1.5)</f>
        <v>0</v>
      </c>
      <c r="D112" s="7">
        <f>IF(A112="","",C112*(1-P106))</f>
        <v>0</v>
      </c>
      <c r="E112" s="16"/>
      <c r="F112" s="26">
        <f>IF(A112="","",IF(P104=1,IF(H102="x",VLOOKUP(A112,CarSoll!$F$11:$S$19,11,FALSE),VLOOKUP(A112,CarSoll!$F$26:$S$34,11,FALSE)),0)*R102)</f>
        <v>0</v>
      </c>
      <c r="G112" s="24">
        <f t="shared" si="15"/>
        <v>0</v>
      </c>
      <c r="H112" s="25">
        <f t="shared" si="16"/>
        <v>0</v>
      </c>
      <c r="I112" s="26">
        <f t="shared" si="17"/>
        <v>0</v>
      </c>
    </row>
    <row r="113" spans="1:19">
      <c r="A113" s="1" t="str">
        <f>CarSoll!$F$15</f>
        <v>4</v>
      </c>
      <c r="B113" s="9">
        <f>IF(A113="","",IF(H102="",0,IF(H102="x",VLOOKUP(A113,CarSoll!$F$11:$S$19,IF(P104=1,9,4),FALSE),VLOOKUP(A113,CarSoll!$F$26:$S$34,IF(P104=1,9,4),FALSE))))</f>
        <v>0</v>
      </c>
      <c r="C113" s="7">
        <f>IF(A113="","",IF(B104="di coltello",IF(P104=0,0,1)*B113*R102,IF(P104=0,0,IF(P104=1,0.1,0.3))*B113*R102)*1.5)</f>
        <v>0</v>
      </c>
      <c r="D113" s="7">
        <f>IF(A113="","",C113*(1-P106))</f>
        <v>0</v>
      </c>
      <c r="E113" s="16"/>
      <c r="F113" s="26">
        <f>IF(A113="","",IF(P104=1,IF(H102="x",VLOOKUP(A113,CarSoll!$F$11:$S$19,11,FALSE),VLOOKUP(A113,CarSoll!$F$26:$S$34,11,FALSE)),0)*R102)</f>
        <v>0</v>
      </c>
      <c r="G113" s="24">
        <f t="shared" si="15"/>
        <v>0</v>
      </c>
      <c r="H113" s="25">
        <f t="shared" si="16"/>
        <v>0</v>
      </c>
      <c r="I113" s="26">
        <f t="shared" si="17"/>
        <v>0</v>
      </c>
    </row>
    <row r="114" spans="1:19">
      <c r="A114" s="1" t="str">
        <f>CarSoll!$F$16</f>
        <v>3</v>
      </c>
      <c r="B114" s="9">
        <f>IF(A114="","",IF(H102="",0,IF(H102="x",VLOOKUP(A114,CarSoll!$F$11:$S$19,IF(P104=1,9,4),FALSE),VLOOKUP(A114,CarSoll!$F$26:$S$34,IF(P104=1,9,4),FALSE))))</f>
        <v>0</v>
      </c>
      <c r="C114" s="7">
        <f>IF(A114="","",IF(B104="di coltello",IF(P104=0,0,1)*B114*R102,IF(P104=0,0,IF(P104=1,0.1,0.3))*B114*R102)*1.5)</f>
        <v>0</v>
      </c>
      <c r="D114" s="7">
        <f>IF(A114="","",C114*(1-P106))</f>
        <v>0</v>
      </c>
      <c r="E114" s="16"/>
      <c r="F114" s="26">
        <f>IF(A114="","",IF(P104=1,IF(H102="x",VLOOKUP(A114,CarSoll!$F$11:$S$19,11,FALSE),VLOOKUP(A114,CarSoll!$F$26:$S$34,11,FALSE)),0)*R102)</f>
        <v>0</v>
      </c>
      <c r="G114" s="24">
        <f t="shared" si="15"/>
        <v>0</v>
      </c>
      <c r="H114" s="25">
        <f t="shared" si="16"/>
        <v>0</v>
      </c>
      <c r="I114" s="26">
        <f t="shared" si="17"/>
        <v>0</v>
      </c>
      <c r="L114" s="29" t="s">
        <v>152</v>
      </c>
    </row>
    <row r="115" spans="1:19">
      <c r="A115" s="1" t="str">
        <f>CarSoll!$F$17</f>
        <v>2</v>
      </c>
      <c r="B115" s="9">
        <f>IF(A115="","",IF(H102="",0,IF(H102="x",VLOOKUP(A115,CarSoll!$F$11:$S$19,IF(P104=1,9,4),FALSE),VLOOKUP(A115,CarSoll!$F$26:$S$34,IF(P104=1,9,4),FALSE))))</f>
        <v>0</v>
      </c>
      <c r="C115" s="7">
        <f>IF(A115="","",IF(B104="di coltello",IF(P104=0,0,1)*B115*R102,IF(P104=0,0,IF(P104=1,0.1,0.3))*B115*R102)*1.5)</f>
        <v>0</v>
      </c>
      <c r="D115" s="7">
        <f>IF(A115="","",C115*(1-P106))</f>
        <v>0</v>
      </c>
      <c r="E115" s="16"/>
      <c r="F115" s="26">
        <f>IF(A115="","",IF(P104=1,IF(H102="x",VLOOKUP(A115,CarSoll!$F$11:$S$19,11,FALSE),VLOOKUP(A115,CarSoll!$F$26:$S$34,11,FALSE)),0)*R102)</f>
        <v>0</v>
      </c>
      <c r="G115" s="24">
        <f t="shared" si="15"/>
        <v>0</v>
      </c>
      <c r="H115" s="25">
        <f t="shared" si="16"/>
        <v>0</v>
      </c>
      <c r="I115" s="26">
        <f t="shared" si="17"/>
        <v>0</v>
      </c>
      <c r="L115" s="163"/>
      <c r="M115" s="163"/>
      <c r="N115" s="163"/>
      <c r="O115" s="163"/>
      <c r="P115" s="163"/>
      <c r="Q115" s="163"/>
      <c r="R115" s="163"/>
    </row>
    <row r="116" spans="1:19">
      <c r="A116" s="1" t="str">
        <f>CarSoll!$F$18</f>
        <v>1 testa</v>
      </c>
      <c r="B116" s="9">
        <f>IF(A116="","",IF(H102="",0,IF(H102="x",VLOOKUP(A116,CarSoll!$F$11:$S$19,IF(P104=1,9,4),FALSE),VLOOKUP(A116,CarSoll!$F$26:$S$34,IF(P104=1,9,4),FALSE))))</f>
        <v>0</v>
      </c>
      <c r="C116" s="7">
        <f>IF(A116="","",IF(B104="di coltello",IF(P104=0,0,1)*B116*R102,IF(P104=0,0,IF(P104=1,0.1,0.3))*B116*R102)*IF(A116="1 testa",1.5,1))</f>
        <v>0</v>
      </c>
      <c r="D116" s="7">
        <f>IF(A116="","",C116*(1-P106))</f>
        <v>0</v>
      </c>
      <c r="E116" s="16"/>
      <c r="F116" s="26">
        <f>IF(A116="","",IF(P104=1,IF(A116="2 piede",F115,IF(H102="x",VLOOKUP(A116,CarSoll!$F$11:$S$19,11,FALSE),VLOOKUP(A116,CarSoll!$F$26:$S$34,11,FALSE))*R102),0))</f>
        <v>0</v>
      </c>
      <c r="G116" s="24">
        <f t="shared" si="15"/>
        <v>0</v>
      </c>
      <c r="H116" s="25">
        <f t="shared" si="16"/>
        <v>0</v>
      </c>
      <c r="I116" s="26">
        <f t="shared" si="17"/>
        <v>0</v>
      </c>
      <c r="L116" s="163"/>
      <c r="M116" s="163"/>
      <c r="N116" s="163"/>
      <c r="O116" s="163"/>
      <c r="P116" s="163"/>
      <c r="Q116" s="163"/>
      <c r="R116" s="163"/>
    </row>
    <row r="117" spans="1:19">
      <c r="A117" s="1" t="str">
        <f>CarSoll!$F$19</f>
        <v>1 piede</v>
      </c>
      <c r="B117" s="9">
        <f>IF(A117="","",IF(H102="",0,IF(H102="x",VLOOKUP(A117,CarSoll!$F$11:$S$19,IF(P104=1,9,4),FALSE),VLOOKUP(A117,CarSoll!$F$26:$S$34,IF(P104=1,9,4),FALSE))))</f>
        <v>0</v>
      </c>
      <c r="C117" s="7">
        <f>IF(A117="","",IF(B104="di coltello",IF(P104=0,0,1)*B117*R102,IF(P104=0,0,IF(P104=1,0.1,0.3))*B117*R102))</f>
        <v>0</v>
      </c>
      <c r="D117" s="7">
        <f>IF(A117="","",C117)</f>
        <v>0</v>
      </c>
      <c r="E117" s="16"/>
      <c r="F117" s="26">
        <f>IF(A117="","",F116)</f>
        <v>0</v>
      </c>
      <c r="G117" s="24">
        <f t="shared" si="15"/>
        <v>0</v>
      </c>
      <c r="H117" s="25">
        <f t="shared" si="16"/>
        <v>0</v>
      </c>
      <c r="I117" s="26">
        <f t="shared" si="17"/>
        <v>0</v>
      </c>
      <c r="L117" s="163"/>
      <c r="M117" s="163"/>
      <c r="N117" s="163"/>
      <c r="O117" s="163"/>
      <c r="P117" s="163"/>
      <c r="Q117" s="163"/>
      <c r="R117" s="163"/>
    </row>
    <row r="119" spans="1:19" ht="13.15">
      <c r="F119" s="18" t="s">
        <v>134</v>
      </c>
      <c r="G119" s="19" t="s">
        <v>133</v>
      </c>
      <c r="H119" s="19" t="s">
        <v>133</v>
      </c>
      <c r="I119" s="19" t="s">
        <v>133</v>
      </c>
    </row>
    <row r="120" spans="1:19">
      <c r="A120" s="20"/>
      <c r="B120" s="20"/>
      <c r="C120" s="20"/>
      <c r="D120" s="20"/>
      <c r="E120" s="20"/>
      <c r="F120" s="20"/>
      <c r="G120" s="21"/>
      <c r="H120" s="22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</row>
    <row r="122" spans="1:19" ht="13.15">
      <c r="A122" s="2" t="s">
        <v>118</v>
      </c>
      <c r="B122" s="15"/>
      <c r="G122" s="4" t="s">
        <v>119</v>
      </c>
      <c r="H122" s="27"/>
      <c r="K122" s="4" t="s">
        <v>106</v>
      </c>
      <c r="L122" s="164"/>
      <c r="M122" s="164"/>
      <c r="N122" s="164"/>
      <c r="O122" s="165"/>
      <c r="Q122" s="4" t="s">
        <v>108</v>
      </c>
      <c r="R122" s="5"/>
    </row>
    <row r="123" spans="1:19">
      <c r="R123" s="10" t="str">
        <f>IF(OR(AND(L122="molto vicino al baricentro",R122&gt;1.05),AND(L122="distanza intermedia dal baricentro",OR(R122&lt;1.05,R122&gt;1.15)),AND(L122="molto distante dal baricentro",R122&lt;1.15)),"sei sicuro?","")</f>
        <v/>
      </c>
    </row>
    <row r="124" spans="1:19">
      <c r="A124" s="4" t="s">
        <v>118</v>
      </c>
      <c r="B124" s="164"/>
      <c r="C124" s="165"/>
      <c r="D124" s="11">
        <f>IF(B124="di coltello",0,10)</f>
        <v>10</v>
      </c>
      <c r="L124" s="4" t="s">
        <v>120</v>
      </c>
      <c r="M124" s="164"/>
      <c r="N124" s="165"/>
      <c r="O124" s="165"/>
      <c r="P124" s="28" t="str">
        <f>IF(M124="","",IF(M124="due travi emergenti",2,IF(M124="una trave emergente",1,0))+D124)</f>
        <v/>
      </c>
    </row>
    <row r="125" spans="1:19">
      <c r="A125" s="10" t="str">
        <f>IF(B124="a spessore","momento da  sisma trascurabile","")</f>
        <v/>
      </c>
      <c r="B125" s="17"/>
      <c r="D125" s="10" t="str">
        <f>IF(A125&lt;&gt;"","",IF(AND(G124="più corta delle altre",P124&gt;0),"il momento da sisma può essere maggiore delle previsioni",IF(AND(G124="più lunga delle altre",P124&gt;0),"il momento da sisma è probabilmente minore delle previsioni", "")))</f>
        <v/>
      </c>
      <c r="M125" s="10" t="str">
        <f>IF(P124=0,"il momento da sisma è poco rilevante","")</f>
        <v/>
      </c>
    </row>
    <row r="126" spans="1:19">
      <c r="N126" s="4" t="s">
        <v>153</v>
      </c>
      <c r="O126" s="1" t="s">
        <v>121</v>
      </c>
      <c r="P126" s="13"/>
    </row>
    <row r="127" spans="1:19" ht="13.15">
      <c r="A127" s="1" t="s">
        <v>50</v>
      </c>
      <c r="B127" s="166" t="s">
        <v>126</v>
      </c>
      <c r="C127" s="167"/>
      <c r="D127" s="167"/>
      <c r="E127" s="8" t="s">
        <v>128</v>
      </c>
      <c r="F127" s="1" t="s">
        <v>129</v>
      </c>
      <c r="G127" s="23" t="s">
        <v>130</v>
      </c>
      <c r="H127" s="8" t="s">
        <v>131</v>
      </c>
      <c r="I127" s="1" t="s">
        <v>132</v>
      </c>
    </row>
    <row r="128" spans="1:19">
      <c r="B128" s="8" t="s">
        <v>114</v>
      </c>
      <c r="C128" s="1" t="s">
        <v>115</v>
      </c>
      <c r="D128" s="1" t="s">
        <v>116</v>
      </c>
      <c r="E128" s="8"/>
      <c r="F128" s="1"/>
      <c r="G128" s="23" t="s">
        <v>116</v>
      </c>
      <c r="H128" s="8"/>
      <c r="I128" s="1"/>
    </row>
    <row r="129" spans="1:19">
      <c r="A129" s="1" t="str">
        <f>CarSoll!$F$11</f>
        <v/>
      </c>
      <c r="B129" s="9" t="str">
        <f>IF(A129="","",IF(H122="",0,IF(H122="x",VLOOKUP(A129,CarSoll!$F$11:$S$19,IF(P124=1,9,4),FALSE),VLOOKUP(A129,CarSoll!$F$26:$S$34,IF(P124=1,9,4),FALSE))))</f>
        <v/>
      </c>
      <c r="C129" s="7" t="str">
        <f>IF(A129="","",IF(B124="di coltello",IF(P124=0,0,1)*B129*R122,IF(P124=0,0,IF(P124=1,0.1,0.3))*B129*R122)*1.5)</f>
        <v/>
      </c>
      <c r="D129" s="7" t="str">
        <f>IF(A129="","",C129*(1-P126))</f>
        <v/>
      </c>
      <c r="E129" s="16"/>
      <c r="F129" s="26" t="str">
        <f>IF(A129="","",IF(P124=1,IF(H122="x",VLOOKUP(A129,CarSoll!$F$11:$S$19,11,FALSE),VLOOKUP(A129,CarSoll!$F$26:$S$34,11,FALSE)),0)*R122)</f>
        <v/>
      </c>
      <c r="G129" s="24" t="str">
        <f>D129</f>
        <v/>
      </c>
      <c r="H129" s="25" t="str">
        <f>IF(A129="","",E129+F129)</f>
        <v/>
      </c>
      <c r="I129" s="26" t="str">
        <f>IF(A129="","",E129-F129)</f>
        <v/>
      </c>
    </row>
    <row r="130" spans="1:19">
      <c r="A130" s="1" t="str">
        <f>CarSoll!$F$12</f>
        <v/>
      </c>
      <c r="B130" s="9" t="str">
        <f>IF(A130="","",IF(H122="",0,IF(H122="x",VLOOKUP(A130,CarSoll!$F$11:$S$19,IF(P124=1,9,4),FALSE),VLOOKUP(A130,CarSoll!$F$26:$S$34,IF(P124=1,9,4),FALSE))))</f>
        <v/>
      </c>
      <c r="C130" s="7" t="str">
        <f>IF(A130="","",IF(B124="di coltello",IF(P124=0,0,1)*B130*R122,IF(P124=0,0,IF(P124=1,0.1,0.3))*B130*R122)*1.5)</f>
        <v/>
      </c>
      <c r="D130" s="7" t="str">
        <f>IF(A130="","",C130*(1-P126))</f>
        <v/>
      </c>
      <c r="E130" s="16"/>
      <c r="F130" s="26" t="str">
        <f>IF(A130="","",IF(P124=1,IF(H122="x",VLOOKUP(A130,CarSoll!$F$11:$S$19,11,FALSE),VLOOKUP(A130,CarSoll!$F$26:$S$34,11,FALSE)),0)*R122)</f>
        <v/>
      </c>
      <c r="G130" s="24" t="str">
        <f t="shared" ref="G130:G137" si="18">D130</f>
        <v/>
      </c>
      <c r="H130" s="25" t="str">
        <f t="shared" ref="H130:H137" si="19">IF(A130="","",E130+F130)</f>
        <v/>
      </c>
      <c r="I130" s="26" t="str">
        <f t="shared" ref="I130:I137" si="20">IF(A130="","",E130-F130)</f>
        <v/>
      </c>
    </row>
    <row r="131" spans="1:19">
      <c r="A131" s="1" t="str">
        <f>CarSoll!$F$13</f>
        <v/>
      </c>
      <c r="B131" s="9" t="str">
        <f>IF(A131="","",IF(H122="",0,IF(H122="x",VLOOKUP(A131,CarSoll!$F$11:$S$19,IF(P124=1,9,4),FALSE),VLOOKUP(A131,CarSoll!$F$26:$S$34,IF(P124=1,9,4),FALSE))))</f>
        <v/>
      </c>
      <c r="C131" s="7" t="str">
        <f>IF(A131="","",IF(B124="di coltello",IF(P124=0,0,1)*B131*R122,IF(P124=0,0,IF(P124=1,0.1,0.3))*B131*R122)*1.5)</f>
        <v/>
      </c>
      <c r="D131" s="7" t="str">
        <f>IF(A131="","",C131*(1-P126))</f>
        <v/>
      </c>
      <c r="E131" s="16"/>
      <c r="F131" s="26" t="str">
        <f>IF(A131="","",IF(P124=1,IF(H122="x",VLOOKUP(A131,CarSoll!$F$11:$S$19,11,FALSE),VLOOKUP(A131,CarSoll!$F$26:$S$34,11,FALSE)),0)*R122)</f>
        <v/>
      </c>
      <c r="G131" s="24" t="str">
        <f t="shared" si="18"/>
        <v/>
      </c>
      <c r="H131" s="25" t="str">
        <f t="shared" si="19"/>
        <v/>
      </c>
      <c r="I131" s="26" t="str">
        <f t="shared" si="20"/>
        <v/>
      </c>
    </row>
    <row r="132" spans="1:19">
      <c r="A132" s="1" t="str">
        <f>CarSoll!$F$14</f>
        <v>5</v>
      </c>
      <c r="B132" s="9">
        <f>IF(A132="","",IF(H122="",0,IF(H122="x",VLOOKUP(A132,CarSoll!$F$11:$S$19,IF(P124=1,9,4),FALSE),VLOOKUP(A132,CarSoll!$F$26:$S$34,IF(P124=1,9,4),FALSE))))</f>
        <v>0</v>
      </c>
      <c r="C132" s="7">
        <f>IF(A132="","",IF(B124="di coltello",IF(P124=0,0,1)*B132*R122,IF(P124=0,0,IF(P124=1,0.1,0.3))*B132*R122)*1.5)</f>
        <v>0</v>
      </c>
      <c r="D132" s="7">
        <f>IF(A132="","",C132*(1-P126))</f>
        <v>0</v>
      </c>
      <c r="E132" s="16"/>
      <c r="F132" s="26">
        <f>IF(A132="","",IF(P124=1,IF(H122="x",VLOOKUP(A132,CarSoll!$F$11:$S$19,11,FALSE),VLOOKUP(A132,CarSoll!$F$26:$S$34,11,FALSE)),0)*R122)</f>
        <v>0</v>
      </c>
      <c r="G132" s="24">
        <f t="shared" si="18"/>
        <v>0</v>
      </c>
      <c r="H132" s="25">
        <f t="shared" si="19"/>
        <v>0</v>
      </c>
      <c r="I132" s="26">
        <f t="shared" si="20"/>
        <v>0</v>
      </c>
    </row>
    <row r="133" spans="1:19">
      <c r="A133" s="1" t="str">
        <f>CarSoll!$F$15</f>
        <v>4</v>
      </c>
      <c r="B133" s="9">
        <f>IF(A133="","",IF(H122="",0,IF(H122="x",VLOOKUP(A133,CarSoll!$F$11:$S$19,IF(P124=1,9,4),FALSE),VLOOKUP(A133,CarSoll!$F$26:$S$34,IF(P124=1,9,4),FALSE))))</f>
        <v>0</v>
      </c>
      <c r="C133" s="7">
        <f>IF(A133="","",IF(B124="di coltello",IF(P124=0,0,1)*B133*R122,IF(P124=0,0,IF(P124=1,0.1,0.3))*B133*R122)*1.5)</f>
        <v>0</v>
      </c>
      <c r="D133" s="7">
        <f>IF(A133="","",C133*(1-P126))</f>
        <v>0</v>
      </c>
      <c r="E133" s="16"/>
      <c r="F133" s="26">
        <f>IF(A133="","",IF(P124=1,IF(H122="x",VLOOKUP(A133,CarSoll!$F$11:$S$19,11,FALSE),VLOOKUP(A133,CarSoll!$F$26:$S$34,11,FALSE)),0)*R122)</f>
        <v>0</v>
      </c>
      <c r="G133" s="24">
        <f t="shared" si="18"/>
        <v>0</v>
      </c>
      <c r="H133" s="25">
        <f t="shared" si="19"/>
        <v>0</v>
      </c>
      <c r="I133" s="26">
        <f t="shared" si="20"/>
        <v>0</v>
      </c>
    </row>
    <row r="134" spans="1:19">
      <c r="A134" s="1" t="str">
        <f>CarSoll!$F$16</f>
        <v>3</v>
      </c>
      <c r="B134" s="9">
        <f>IF(A134="","",IF(H122="",0,IF(H122="x",VLOOKUP(A134,CarSoll!$F$11:$S$19,IF(P124=1,9,4),FALSE),VLOOKUP(A134,CarSoll!$F$26:$S$34,IF(P124=1,9,4),FALSE))))</f>
        <v>0</v>
      </c>
      <c r="C134" s="7">
        <f>IF(A134="","",IF(B124="di coltello",IF(P124=0,0,1)*B134*R122,IF(P124=0,0,IF(P124=1,0.1,0.3))*B134*R122)*1.5)</f>
        <v>0</v>
      </c>
      <c r="D134" s="7">
        <f>IF(A134="","",C134*(1-P126))</f>
        <v>0</v>
      </c>
      <c r="E134" s="16"/>
      <c r="F134" s="26">
        <f>IF(A134="","",IF(P124=1,IF(H122="x",VLOOKUP(A134,CarSoll!$F$11:$S$19,11,FALSE),VLOOKUP(A134,CarSoll!$F$26:$S$34,11,FALSE)),0)*R122)</f>
        <v>0</v>
      </c>
      <c r="G134" s="24">
        <f t="shared" si="18"/>
        <v>0</v>
      </c>
      <c r="H134" s="25">
        <f t="shared" si="19"/>
        <v>0</v>
      </c>
      <c r="I134" s="26">
        <f t="shared" si="20"/>
        <v>0</v>
      </c>
      <c r="L134" s="29" t="s">
        <v>152</v>
      </c>
    </row>
    <row r="135" spans="1:19">
      <c r="A135" s="1" t="str">
        <f>CarSoll!$F$17</f>
        <v>2</v>
      </c>
      <c r="B135" s="9">
        <f>IF(A135="","",IF(H122="",0,IF(H122="x",VLOOKUP(A135,CarSoll!$F$11:$S$19,IF(P124=1,9,4),FALSE),VLOOKUP(A135,CarSoll!$F$26:$S$34,IF(P124=1,9,4),FALSE))))</f>
        <v>0</v>
      </c>
      <c r="C135" s="7">
        <f>IF(A135="","",IF(B124="di coltello",IF(P124=0,0,1)*B135*R122,IF(P124=0,0,IF(P124=1,0.1,0.3))*B135*R122)*1.5)</f>
        <v>0</v>
      </c>
      <c r="D135" s="7">
        <f>IF(A135="","",C135*(1-P126))</f>
        <v>0</v>
      </c>
      <c r="E135" s="16"/>
      <c r="F135" s="26">
        <f>IF(A135="","",IF(P124=1,IF(H122="x",VLOOKUP(A135,CarSoll!$F$11:$S$19,11,FALSE),VLOOKUP(A135,CarSoll!$F$26:$S$34,11,FALSE)),0)*R122)</f>
        <v>0</v>
      </c>
      <c r="G135" s="24">
        <f t="shared" si="18"/>
        <v>0</v>
      </c>
      <c r="H135" s="25">
        <f t="shared" si="19"/>
        <v>0</v>
      </c>
      <c r="I135" s="26">
        <f t="shared" si="20"/>
        <v>0</v>
      </c>
      <c r="L135" s="163"/>
      <c r="M135" s="163"/>
      <c r="N135" s="163"/>
      <c r="O135" s="163"/>
      <c r="P135" s="163"/>
      <c r="Q135" s="163"/>
      <c r="R135" s="163"/>
    </row>
    <row r="136" spans="1:19">
      <c r="A136" s="1" t="str">
        <f>CarSoll!$F$18</f>
        <v>1 testa</v>
      </c>
      <c r="B136" s="9">
        <f>IF(A136="","",IF(H122="",0,IF(H122="x",VLOOKUP(A136,CarSoll!$F$11:$S$19,IF(P124=1,9,4),FALSE),VLOOKUP(A136,CarSoll!$F$26:$S$34,IF(P124=1,9,4),FALSE))))</f>
        <v>0</v>
      </c>
      <c r="C136" s="7">
        <f>IF(A136="","",IF(B124="di coltello",IF(P124=0,0,1)*B136*R122,IF(P124=0,0,IF(P124=1,0.1,0.3))*B136*R122)*IF(A136="1 testa",1.5,1))</f>
        <v>0</v>
      </c>
      <c r="D136" s="7">
        <f>IF(A136="","",C136*(1-P126))</f>
        <v>0</v>
      </c>
      <c r="E136" s="16"/>
      <c r="F136" s="26">
        <f>IF(A136="","",IF(P124=1,IF(A136="2 piede",F135,IF(H122="x",VLOOKUP(A136,CarSoll!$F$11:$S$19,11,FALSE),VLOOKUP(A136,CarSoll!$F$26:$S$34,11,FALSE))*R122),0))</f>
        <v>0</v>
      </c>
      <c r="G136" s="24">
        <f t="shared" si="18"/>
        <v>0</v>
      </c>
      <c r="H136" s="25">
        <f t="shared" si="19"/>
        <v>0</v>
      </c>
      <c r="I136" s="26">
        <f t="shared" si="20"/>
        <v>0</v>
      </c>
      <c r="L136" s="163"/>
      <c r="M136" s="163"/>
      <c r="N136" s="163"/>
      <c r="O136" s="163"/>
      <c r="P136" s="163"/>
      <c r="Q136" s="163"/>
      <c r="R136" s="163"/>
    </row>
    <row r="137" spans="1:19">
      <c r="A137" s="1" t="str">
        <f>CarSoll!$F$19</f>
        <v>1 piede</v>
      </c>
      <c r="B137" s="9">
        <f>IF(A137="","",IF(H122="",0,IF(H122="x",VLOOKUP(A137,CarSoll!$F$11:$S$19,IF(P124=1,9,4),FALSE),VLOOKUP(A137,CarSoll!$F$26:$S$34,IF(P124=1,9,4),FALSE))))</f>
        <v>0</v>
      </c>
      <c r="C137" s="7">
        <f>IF(A137="","",IF(B124="di coltello",IF(P124=0,0,1)*B137*R122,IF(P124=0,0,IF(P124=1,0.1,0.3))*B137*R122))</f>
        <v>0</v>
      </c>
      <c r="D137" s="7">
        <f>IF(A137="","",C137)</f>
        <v>0</v>
      </c>
      <c r="E137" s="16"/>
      <c r="F137" s="26">
        <f>IF(A137="","",F136)</f>
        <v>0</v>
      </c>
      <c r="G137" s="24">
        <f t="shared" si="18"/>
        <v>0</v>
      </c>
      <c r="H137" s="25">
        <f t="shared" si="19"/>
        <v>0</v>
      </c>
      <c r="I137" s="26">
        <f t="shared" si="20"/>
        <v>0</v>
      </c>
      <c r="L137" s="163"/>
      <c r="M137" s="163"/>
      <c r="N137" s="163"/>
      <c r="O137" s="163"/>
      <c r="P137" s="163"/>
      <c r="Q137" s="163"/>
      <c r="R137" s="163"/>
    </row>
    <row r="139" spans="1:19" ht="13.15">
      <c r="F139" s="18" t="s">
        <v>134</v>
      </c>
      <c r="G139" s="19" t="s">
        <v>133</v>
      </c>
      <c r="H139" s="19" t="s">
        <v>133</v>
      </c>
      <c r="I139" s="19" t="s">
        <v>133</v>
      </c>
    </row>
    <row r="140" spans="1:19">
      <c r="A140" s="20"/>
      <c r="B140" s="20"/>
      <c r="C140" s="20"/>
      <c r="D140" s="20"/>
      <c r="E140" s="20"/>
      <c r="F140" s="20"/>
      <c r="G140" s="21"/>
      <c r="H140" s="22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</row>
    <row r="142" spans="1:19" ht="13.15">
      <c r="A142" s="2" t="s">
        <v>118</v>
      </c>
      <c r="B142" s="15"/>
      <c r="G142" s="4" t="s">
        <v>119</v>
      </c>
      <c r="H142" s="27"/>
      <c r="K142" s="4" t="s">
        <v>106</v>
      </c>
      <c r="L142" s="164"/>
      <c r="M142" s="164"/>
      <c r="N142" s="164"/>
      <c r="O142" s="165"/>
      <c r="Q142" s="4" t="s">
        <v>108</v>
      </c>
      <c r="R142" s="5"/>
    </row>
    <row r="143" spans="1:19">
      <c r="R143" s="10" t="str">
        <f>IF(OR(AND(L142="molto vicino al baricentro",R142&gt;1.05),AND(L142="distanza intermedia dal baricentro",OR(R142&lt;1.05,R142&gt;1.15)),AND(L142="molto distante dal baricentro",R142&lt;1.15)),"sei sicuro?","")</f>
        <v/>
      </c>
    </row>
    <row r="144" spans="1:19">
      <c r="A144" s="4" t="s">
        <v>118</v>
      </c>
      <c r="B144" s="164"/>
      <c r="C144" s="165"/>
      <c r="D144" s="11">
        <f>IF(B144="di coltello",0,10)</f>
        <v>10</v>
      </c>
      <c r="L144" s="4" t="s">
        <v>120</v>
      </c>
      <c r="M144" s="164"/>
      <c r="N144" s="165"/>
      <c r="O144" s="165"/>
      <c r="P144" s="28" t="str">
        <f>IF(M144="","",IF(M144="due travi emergenti",2,IF(M144="una trave emergente",1,0))+D144)</f>
        <v/>
      </c>
    </row>
    <row r="145" spans="1:19">
      <c r="A145" s="10" t="str">
        <f>IF(B144="a spessore","momento da  sisma trascurabile","")</f>
        <v/>
      </c>
      <c r="B145" s="17"/>
      <c r="D145" s="10" t="str">
        <f>IF(A145&lt;&gt;"","",IF(AND(G144="più corta delle altre",P144&gt;0),"il momento da sisma può essere maggiore delle previsioni",IF(AND(G144="più lunga delle altre",P144&gt;0),"il momento da sisma è probabilmente minore delle previsioni", "")))</f>
        <v/>
      </c>
      <c r="M145" s="10" t="str">
        <f>IF(P144=0,"il momento da sisma è poco rilevante","")</f>
        <v/>
      </c>
    </row>
    <row r="146" spans="1:19">
      <c r="N146" s="4" t="s">
        <v>153</v>
      </c>
      <c r="O146" s="1" t="s">
        <v>121</v>
      </c>
      <c r="P146" s="13"/>
    </row>
    <row r="147" spans="1:19" ht="13.15">
      <c r="A147" s="1" t="s">
        <v>50</v>
      </c>
      <c r="B147" s="166" t="s">
        <v>126</v>
      </c>
      <c r="C147" s="167"/>
      <c r="D147" s="167"/>
      <c r="E147" s="8" t="s">
        <v>128</v>
      </c>
      <c r="F147" s="1" t="s">
        <v>129</v>
      </c>
      <c r="G147" s="23" t="s">
        <v>130</v>
      </c>
      <c r="H147" s="8" t="s">
        <v>131</v>
      </c>
      <c r="I147" s="1" t="s">
        <v>132</v>
      </c>
    </row>
    <row r="148" spans="1:19">
      <c r="B148" s="8" t="s">
        <v>114</v>
      </c>
      <c r="C148" s="1" t="s">
        <v>115</v>
      </c>
      <c r="D148" s="1" t="s">
        <v>116</v>
      </c>
      <c r="E148" s="8"/>
      <c r="F148" s="1"/>
      <c r="G148" s="23" t="s">
        <v>116</v>
      </c>
      <c r="H148" s="8"/>
      <c r="I148" s="1"/>
    </row>
    <row r="149" spans="1:19">
      <c r="A149" s="1" t="str">
        <f>CarSoll!$F$11</f>
        <v/>
      </c>
      <c r="B149" s="9" t="str">
        <f>IF(A149="","",IF(H142="",0,IF(H142="x",VLOOKUP(A149,CarSoll!$F$11:$S$19,IF(P144=1,9,4),FALSE),VLOOKUP(A149,CarSoll!$F$26:$S$34,IF(P144=1,9,4),FALSE))))</f>
        <v/>
      </c>
      <c r="C149" s="7" t="str">
        <f>IF(A149="","",IF(B144="di coltello",IF(P144=0,0,1)*B149*R142,IF(P144=0,0,IF(P144=1,0.1,0.3))*B149*R142)*1.5)</f>
        <v/>
      </c>
      <c r="D149" s="7" t="str">
        <f>IF(A149="","",C149*(1-P146))</f>
        <v/>
      </c>
      <c r="E149" s="16"/>
      <c r="F149" s="26" t="str">
        <f>IF(A149="","",IF(P144=1,IF(H142="x",VLOOKUP(A149,CarSoll!$F$11:$S$19,11,FALSE),VLOOKUP(A149,CarSoll!$F$26:$S$34,11,FALSE)),0)*R142)</f>
        <v/>
      </c>
      <c r="G149" s="24" t="str">
        <f>D149</f>
        <v/>
      </c>
      <c r="H149" s="25" t="str">
        <f>IF(A149="","",E149+F149)</f>
        <v/>
      </c>
      <c r="I149" s="26" t="str">
        <f>IF(A149="","",E149-F149)</f>
        <v/>
      </c>
    </row>
    <row r="150" spans="1:19">
      <c r="A150" s="1" t="str">
        <f>CarSoll!$F$12</f>
        <v/>
      </c>
      <c r="B150" s="9" t="str">
        <f>IF(A150="","",IF(H142="",0,IF(H142="x",VLOOKUP(A150,CarSoll!$F$11:$S$19,IF(P144=1,9,4),FALSE),VLOOKUP(A150,CarSoll!$F$26:$S$34,IF(P144=1,9,4),FALSE))))</f>
        <v/>
      </c>
      <c r="C150" s="7" t="str">
        <f>IF(A150="","",IF(B144="di coltello",IF(P144=0,0,1)*B150*R142,IF(P144=0,0,IF(P144=1,0.1,0.3))*B150*R142)*1.5)</f>
        <v/>
      </c>
      <c r="D150" s="7" t="str">
        <f>IF(A150="","",C150*(1-P146))</f>
        <v/>
      </c>
      <c r="E150" s="16"/>
      <c r="F150" s="26" t="str">
        <f>IF(A150="","",IF(P144=1,IF(H142="x",VLOOKUP(A150,CarSoll!$F$11:$S$19,11,FALSE),VLOOKUP(A150,CarSoll!$F$26:$S$34,11,FALSE)),0)*R142)</f>
        <v/>
      </c>
      <c r="G150" s="24" t="str">
        <f t="shared" ref="G150:G157" si="21">D150</f>
        <v/>
      </c>
      <c r="H150" s="25" t="str">
        <f t="shared" ref="H150:H157" si="22">IF(A150="","",E150+F150)</f>
        <v/>
      </c>
      <c r="I150" s="26" t="str">
        <f t="shared" ref="I150:I157" si="23">IF(A150="","",E150-F150)</f>
        <v/>
      </c>
    </row>
    <row r="151" spans="1:19">
      <c r="A151" s="1" t="str">
        <f>CarSoll!$F$13</f>
        <v/>
      </c>
      <c r="B151" s="9" t="str">
        <f>IF(A151="","",IF(H142="",0,IF(H142="x",VLOOKUP(A151,CarSoll!$F$11:$S$19,IF(P144=1,9,4),FALSE),VLOOKUP(A151,CarSoll!$F$26:$S$34,IF(P144=1,9,4),FALSE))))</f>
        <v/>
      </c>
      <c r="C151" s="7" t="str">
        <f>IF(A151="","",IF(B144="di coltello",IF(P144=0,0,1)*B151*R142,IF(P144=0,0,IF(P144=1,0.1,0.3))*B151*R142)*1.5)</f>
        <v/>
      </c>
      <c r="D151" s="7" t="str">
        <f>IF(A151="","",C151*(1-P146))</f>
        <v/>
      </c>
      <c r="E151" s="16"/>
      <c r="F151" s="26" t="str">
        <f>IF(A151="","",IF(P144=1,IF(H142="x",VLOOKUP(A151,CarSoll!$F$11:$S$19,11,FALSE),VLOOKUP(A151,CarSoll!$F$26:$S$34,11,FALSE)),0)*R142)</f>
        <v/>
      </c>
      <c r="G151" s="24" t="str">
        <f t="shared" si="21"/>
        <v/>
      </c>
      <c r="H151" s="25" t="str">
        <f t="shared" si="22"/>
        <v/>
      </c>
      <c r="I151" s="26" t="str">
        <f t="shared" si="23"/>
        <v/>
      </c>
    </row>
    <row r="152" spans="1:19">
      <c r="A152" s="1" t="str">
        <f>CarSoll!$F$14</f>
        <v>5</v>
      </c>
      <c r="B152" s="9">
        <f>IF(A152="","",IF(H142="",0,IF(H142="x",VLOOKUP(A152,CarSoll!$F$11:$S$19,IF(P144=1,9,4),FALSE),VLOOKUP(A152,CarSoll!$F$26:$S$34,IF(P144=1,9,4),FALSE))))</f>
        <v>0</v>
      </c>
      <c r="C152" s="7">
        <f>IF(A152="","",IF(B144="di coltello",IF(P144=0,0,1)*B152*R142,IF(P144=0,0,IF(P144=1,0.1,0.3))*B152*R142)*1.5)</f>
        <v>0</v>
      </c>
      <c r="D152" s="7">
        <f>IF(A152="","",C152*(1-P146))</f>
        <v>0</v>
      </c>
      <c r="E152" s="16"/>
      <c r="F152" s="26">
        <f>IF(A152="","",IF(P144=1,IF(H142="x",VLOOKUP(A152,CarSoll!$F$11:$S$19,11,FALSE),VLOOKUP(A152,CarSoll!$F$26:$S$34,11,FALSE)),0)*R142)</f>
        <v>0</v>
      </c>
      <c r="G152" s="24">
        <f t="shared" si="21"/>
        <v>0</v>
      </c>
      <c r="H152" s="25">
        <f t="shared" si="22"/>
        <v>0</v>
      </c>
      <c r="I152" s="26">
        <f t="shared" si="23"/>
        <v>0</v>
      </c>
    </row>
    <row r="153" spans="1:19">
      <c r="A153" s="1" t="str">
        <f>CarSoll!$F$15</f>
        <v>4</v>
      </c>
      <c r="B153" s="9">
        <f>IF(A153="","",IF(H142="",0,IF(H142="x",VLOOKUP(A153,CarSoll!$F$11:$S$19,IF(P144=1,9,4),FALSE),VLOOKUP(A153,CarSoll!$F$26:$S$34,IF(P144=1,9,4),FALSE))))</f>
        <v>0</v>
      </c>
      <c r="C153" s="7">
        <f>IF(A153="","",IF(B144="di coltello",IF(P144=0,0,1)*B153*R142,IF(P144=0,0,IF(P144=1,0.1,0.3))*B153*R142)*1.5)</f>
        <v>0</v>
      </c>
      <c r="D153" s="7">
        <f>IF(A153="","",C153*(1-P146))</f>
        <v>0</v>
      </c>
      <c r="E153" s="16"/>
      <c r="F153" s="26">
        <f>IF(A153="","",IF(P144=1,IF(H142="x",VLOOKUP(A153,CarSoll!$F$11:$S$19,11,FALSE),VLOOKUP(A153,CarSoll!$F$26:$S$34,11,FALSE)),0)*R142)</f>
        <v>0</v>
      </c>
      <c r="G153" s="24">
        <f t="shared" si="21"/>
        <v>0</v>
      </c>
      <c r="H153" s="25">
        <f t="shared" si="22"/>
        <v>0</v>
      </c>
      <c r="I153" s="26">
        <f t="shared" si="23"/>
        <v>0</v>
      </c>
    </row>
    <row r="154" spans="1:19">
      <c r="A154" s="1" t="str">
        <f>CarSoll!$F$16</f>
        <v>3</v>
      </c>
      <c r="B154" s="9">
        <f>IF(A154="","",IF(H142="",0,IF(H142="x",VLOOKUP(A154,CarSoll!$F$11:$S$19,IF(P144=1,9,4),FALSE),VLOOKUP(A154,CarSoll!$F$26:$S$34,IF(P144=1,9,4),FALSE))))</f>
        <v>0</v>
      </c>
      <c r="C154" s="7">
        <f>IF(A154="","",IF(B144="di coltello",IF(P144=0,0,1)*B154*R142,IF(P144=0,0,IF(P144=1,0.1,0.3))*B154*R142)*1.5)</f>
        <v>0</v>
      </c>
      <c r="D154" s="7">
        <f>IF(A154="","",C154*(1-P146))</f>
        <v>0</v>
      </c>
      <c r="E154" s="16"/>
      <c r="F154" s="26">
        <f>IF(A154="","",IF(P144=1,IF(H142="x",VLOOKUP(A154,CarSoll!$F$11:$S$19,11,FALSE),VLOOKUP(A154,CarSoll!$F$26:$S$34,11,FALSE)),0)*R142)</f>
        <v>0</v>
      </c>
      <c r="G154" s="24">
        <f t="shared" si="21"/>
        <v>0</v>
      </c>
      <c r="H154" s="25">
        <f t="shared" si="22"/>
        <v>0</v>
      </c>
      <c r="I154" s="26">
        <f t="shared" si="23"/>
        <v>0</v>
      </c>
      <c r="L154" s="29" t="s">
        <v>152</v>
      </c>
    </row>
    <row r="155" spans="1:19">
      <c r="A155" s="1" t="str">
        <f>CarSoll!$F$17</f>
        <v>2</v>
      </c>
      <c r="B155" s="9">
        <f>IF(A155="","",IF(H142="",0,IF(H142="x",VLOOKUP(A155,CarSoll!$F$11:$S$19,IF(P144=1,9,4),FALSE),VLOOKUP(A155,CarSoll!$F$26:$S$34,IF(P144=1,9,4),FALSE))))</f>
        <v>0</v>
      </c>
      <c r="C155" s="7">
        <f>IF(A155="","",IF(B144="di coltello",IF(P144=0,0,1)*B155*R142,IF(P144=0,0,IF(P144=1,0.1,0.3))*B155*R142)*1.5)</f>
        <v>0</v>
      </c>
      <c r="D155" s="7">
        <f>IF(A155="","",C155*(1-P146))</f>
        <v>0</v>
      </c>
      <c r="E155" s="16"/>
      <c r="F155" s="26">
        <f>IF(A155="","",IF(P144=1,IF(H142="x",VLOOKUP(A155,CarSoll!$F$11:$S$19,11,FALSE),VLOOKUP(A155,CarSoll!$F$26:$S$34,11,FALSE)),0)*R142)</f>
        <v>0</v>
      </c>
      <c r="G155" s="24">
        <f t="shared" si="21"/>
        <v>0</v>
      </c>
      <c r="H155" s="25">
        <f t="shared" si="22"/>
        <v>0</v>
      </c>
      <c r="I155" s="26">
        <f t="shared" si="23"/>
        <v>0</v>
      </c>
      <c r="L155" s="163"/>
      <c r="M155" s="163"/>
      <c r="N155" s="163"/>
      <c r="O155" s="163"/>
      <c r="P155" s="163"/>
      <c r="Q155" s="163"/>
      <c r="R155" s="163"/>
    </row>
    <row r="156" spans="1:19">
      <c r="A156" s="1" t="str">
        <f>CarSoll!$F$18</f>
        <v>1 testa</v>
      </c>
      <c r="B156" s="9">
        <f>IF(A156="","",IF(H142="",0,IF(H142="x",VLOOKUP(A156,CarSoll!$F$11:$S$19,IF(P144=1,9,4),FALSE),VLOOKUP(A156,CarSoll!$F$26:$S$34,IF(P144=1,9,4),FALSE))))</f>
        <v>0</v>
      </c>
      <c r="C156" s="7">
        <f>IF(A156="","",IF(B144="di coltello",IF(P144=0,0,1)*B156*R142,IF(P144=0,0,IF(P144=1,0.1,0.3))*B156*R142)*IF(A156="1 testa",1.5,1))</f>
        <v>0</v>
      </c>
      <c r="D156" s="7">
        <f>IF(A156="","",C156*(1-P146))</f>
        <v>0</v>
      </c>
      <c r="E156" s="16"/>
      <c r="F156" s="26">
        <f>IF(A156="","",IF(P144=1,IF(A156="2 piede",F155,IF(H142="x",VLOOKUP(A156,CarSoll!$F$11:$S$19,11,FALSE),VLOOKUP(A156,CarSoll!$F$26:$S$34,11,FALSE))*R142),0))</f>
        <v>0</v>
      </c>
      <c r="G156" s="24">
        <f t="shared" si="21"/>
        <v>0</v>
      </c>
      <c r="H156" s="25">
        <f t="shared" si="22"/>
        <v>0</v>
      </c>
      <c r="I156" s="26">
        <f t="shared" si="23"/>
        <v>0</v>
      </c>
      <c r="L156" s="163"/>
      <c r="M156" s="163"/>
      <c r="N156" s="163"/>
      <c r="O156" s="163"/>
      <c r="P156" s="163"/>
      <c r="Q156" s="163"/>
      <c r="R156" s="163"/>
    </row>
    <row r="157" spans="1:19">
      <c r="A157" s="1" t="str">
        <f>CarSoll!$F$19</f>
        <v>1 piede</v>
      </c>
      <c r="B157" s="9">
        <f>IF(A157="","",IF(H142="",0,IF(H142="x",VLOOKUP(A157,CarSoll!$F$11:$S$19,IF(P144=1,9,4),FALSE),VLOOKUP(A157,CarSoll!$F$26:$S$34,IF(P144=1,9,4),FALSE))))</f>
        <v>0</v>
      </c>
      <c r="C157" s="7">
        <f>IF(A157="","",IF(B144="di coltello",IF(P144=0,0,1)*B157*R142,IF(P144=0,0,IF(P144=1,0.1,0.3))*B157*R142))</f>
        <v>0</v>
      </c>
      <c r="D157" s="7">
        <f>IF(A157="","",C157)</f>
        <v>0</v>
      </c>
      <c r="E157" s="16"/>
      <c r="F157" s="26">
        <f>IF(A157="","",F156)</f>
        <v>0</v>
      </c>
      <c r="G157" s="24">
        <f t="shared" si="21"/>
        <v>0</v>
      </c>
      <c r="H157" s="25">
        <f t="shared" si="22"/>
        <v>0</v>
      </c>
      <c r="I157" s="26">
        <f t="shared" si="23"/>
        <v>0</v>
      </c>
      <c r="L157" s="163"/>
      <c r="M157" s="163"/>
      <c r="N157" s="163"/>
      <c r="O157" s="163"/>
      <c r="P157" s="163"/>
      <c r="Q157" s="163"/>
      <c r="R157" s="163"/>
    </row>
    <row r="159" spans="1:19" ht="13.15">
      <c r="F159" s="18" t="s">
        <v>134</v>
      </c>
      <c r="G159" s="19" t="s">
        <v>133</v>
      </c>
      <c r="H159" s="19" t="s">
        <v>133</v>
      </c>
      <c r="I159" s="19" t="s">
        <v>133</v>
      </c>
    </row>
    <row r="160" spans="1:19">
      <c r="A160" s="20"/>
      <c r="B160" s="20"/>
      <c r="C160" s="20"/>
      <c r="D160" s="20"/>
      <c r="E160" s="20"/>
      <c r="F160" s="20"/>
      <c r="G160" s="21"/>
      <c r="H160" s="22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</row>
    <row r="162" spans="1:18" ht="13.15">
      <c r="A162" s="2" t="s">
        <v>118</v>
      </c>
      <c r="B162" s="15"/>
      <c r="G162" s="4" t="s">
        <v>119</v>
      </c>
      <c r="H162" s="27"/>
      <c r="K162" s="4" t="s">
        <v>106</v>
      </c>
      <c r="L162" s="164"/>
      <c r="M162" s="164"/>
      <c r="N162" s="164"/>
      <c r="O162" s="165"/>
      <c r="Q162" s="4" t="s">
        <v>108</v>
      </c>
      <c r="R162" s="5"/>
    </row>
    <row r="163" spans="1:18">
      <c r="R163" s="10" t="str">
        <f>IF(OR(AND(L162="molto vicino al baricentro",R162&gt;1.05),AND(L162="distanza intermedia dal baricentro",OR(R162&lt;1.05,R162&gt;1.15)),AND(L162="molto distante dal baricentro",R162&lt;1.15)),"sei sicuro?","")</f>
        <v/>
      </c>
    </row>
    <row r="164" spans="1:18">
      <c r="A164" s="4" t="s">
        <v>118</v>
      </c>
      <c r="B164" s="164"/>
      <c r="C164" s="165"/>
      <c r="D164" s="11">
        <f>IF(B164="di coltello",0,10)</f>
        <v>10</v>
      </c>
      <c r="L164" s="4" t="s">
        <v>120</v>
      </c>
      <c r="M164" s="164"/>
      <c r="N164" s="165"/>
      <c r="O164" s="165"/>
      <c r="P164" s="28" t="str">
        <f>IF(M164="","",IF(M164="due travi emergenti",2,IF(M164="una trave emergente",1,0))+D164)</f>
        <v/>
      </c>
    </row>
    <row r="165" spans="1:18">
      <c r="A165" s="10" t="str">
        <f>IF(B164="a spessore","momento da  sisma trascurabile","")</f>
        <v/>
      </c>
      <c r="B165" s="17"/>
      <c r="D165" s="10" t="str">
        <f>IF(A165&lt;&gt;"","",IF(AND(G164="più corta delle altre",P164&gt;0),"il momento da sisma può essere maggiore delle previsioni",IF(AND(G164="più lunga delle altre",P164&gt;0),"il momento da sisma è probabilmente minore delle previsioni", "")))</f>
        <v/>
      </c>
      <c r="M165" s="10" t="str">
        <f>IF(P164=0,"il momento da sisma è poco rilevante","")</f>
        <v/>
      </c>
    </row>
    <row r="166" spans="1:18">
      <c r="N166" s="4" t="s">
        <v>153</v>
      </c>
      <c r="O166" s="1" t="s">
        <v>121</v>
      </c>
      <c r="P166" s="13"/>
    </row>
    <row r="167" spans="1:18" ht="13.15">
      <c r="A167" s="1" t="s">
        <v>50</v>
      </c>
      <c r="B167" s="166" t="s">
        <v>126</v>
      </c>
      <c r="C167" s="167"/>
      <c r="D167" s="167"/>
      <c r="E167" s="8" t="s">
        <v>128</v>
      </c>
      <c r="F167" s="1" t="s">
        <v>129</v>
      </c>
      <c r="G167" s="23" t="s">
        <v>130</v>
      </c>
      <c r="H167" s="8" t="s">
        <v>131</v>
      </c>
      <c r="I167" s="1" t="s">
        <v>132</v>
      </c>
    </row>
    <row r="168" spans="1:18">
      <c r="B168" s="8" t="s">
        <v>114</v>
      </c>
      <c r="C168" s="1" t="s">
        <v>115</v>
      </c>
      <c r="D168" s="1" t="s">
        <v>116</v>
      </c>
      <c r="E168" s="8"/>
      <c r="F168" s="1"/>
      <c r="G168" s="23" t="s">
        <v>116</v>
      </c>
      <c r="H168" s="8"/>
      <c r="I168" s="1"/>
    </row>
    <row r="169" spans="1:18">
      <c r="A169" s="1" t="str">
        <f>CarSoll!$F$11</f>
        <v/>
      </c>
      <c r="B169" s="9" t="str">
        <f>IF(A169="","",IF(H162="",0,IF(H162="x",VLOOKUP(A169,CarSoll!$F$11:$S$19,IF(P164=1,9,4),FALSE),VLOOKUP(A169,CarSoll!$F$26:$S$34,IF(P164=1,9,4),FALSE))))</f>
        <v/>
      </c>
      <c r="C169" s="7" t="str">
        <f>IF(A169="","",IF(B164="di coltello",IF(P164=0,0,1)*B169*R162,IF(P164=0,0,IF(P164=1,0.1,0.3))*B169*R162)*1.5)</f>
        <v/>
      </c>
      <c r="D169" s="7" t="str">
        <f>IF(A169="","",C169*(1-P166))</f>
        <v/>
      </c>
      <c r="E169" s="16"/>
      <c r="F169" s="26" t="str">
        <f>IF(A169="","",IF(P164=1,IF(H162="x",VLOOKUP(A169,CarSoll!$F$11:$S$19,11,FALSE),VLOOKUP(A169,CarSoll!$F$26:$S$34,11,FALSE)),0)*R162)</f>
        <v/>
      </c>
      <c r="G169" s="24" t="str">
        <f>D169</f>
        <v/>
      </c>
      <c r="H169" s="25" t="str">
        <f>IF(A169="","",E169+F169)</f>
        <v/>
      </c>
      <c r="I169" s="26" t="str">
        <f>IF(A169="","",E169-F169)</f>
        <v/>
      </c>
    </row>
    <row r="170" spans="1:18">
      <c r="A170" s="1" t="str">
        <f>CarSoll!$F$12</f>
        <v/>
      </c>
      <c r="B170" s="9" t="str">
        <f>IF(A170="","",IF(H162="",0,IF(H162="x",VLOOKUP(A170,CarSoll!$F$11:$S$19,IF(P164=1,9,4),FALSE),VLOOKUP(A170,CarSoll!$F$26:$S$34,IF(P164=1,9,4),FALSE))))</f>
        <v/>
      </c>
      <c r="C170" s="7" t="str">
        <f>IF(A170="","",IF(B164="di coltello",IF(P164=0,0,1)*B170*R162,IF(P164=0,0,IF(P164=1,0.1,0.3))*B170*R162)*1.5)</f>
        <v/>
      </c>
      <c r="D170" s="7" t="str">
        <f>IF(A170="","",C170*(1-P166))</f>
        <v/>
      </c>
      <c r="E170" s="16"/>
      <c r="F170" s="26" t="str">
        <f>IF(A170="","",IF(P164=1,IF(H162="x",VLOOKUP(A170,CarSoll!$F$11:$S$19,11,FALSE),VLOOKUP(A170,CarSoll!$F$26:$S$34,11,FALSE)),0)*R162)</f>
        <v/>
      </c>
      <c r="G170" s="24" t="str">
        <f t="shared" ref="G170:G177" si="24">D170</f>
        <v/>
      </c>
      <c r="H170" s="25" t="str">
        <f t="shared" ref="H170:H177" si="25">IF(A170="","",E170+F170)</f>
        <v/>
      </c>
      <c r="I170" s="26" t="str">
        <f t="shared" ref="I170:I177" si="26">IF(A170="","",E170-F170)</f>
        <v/>
      </c>
    </row>
    <row r="171" spans="1:18">
      <c r="A171" s="1" t="str">
        <f>CarSoll!$F$13</f>
        <v/>
      </c>
      <c r="B171" s="9" t="str">
        <f>IF(A171="","",IF(H162="",0,IF(H162="x",VLOOKUP(A171,CarSoll!$F$11:$S$19,IF(P164=1,9,4),FALSE),VLOOKUP(A171,CarSoll!$F$26:$S$34,IF(P164=1,9,4),FALSE))))</f>
        <v/>
      </c>
      <c r="C171" s="7" t="str">
        <f>IF(A171="","",IF(B164="di coltello",IF(P164=0,0,1)*B171*R162,IF(P164=0,0,IF(P164=1,0.1,0.3))*B171*R162)*1.5)</f>
        <v/>
      </c>
      <c r="D171" s="7" t="str">
        <f>IF(A171="","",C171*(1-P166))</f>
        <v/>
      </c>
      <c r="E171" s="16"/>
      <c r="F171" s="26" t="str">
        <f>IF(A171="","",IF(P164=1,IF(H162="x",VLOOKUP(A171,CarSoll!$F$11:$S$19,11,FALSE),VLOOKUP(A171,CarSoll!$F$26:$S$34,11,FALSE)),0)*R162)</f>
        <v/>
      </c>
      <c r="G171" s="24" t="str">
        <f t="shared" si="24"/>
        <v/>
      </c>
      <c r="H171" s="25" t="str">
        <f t="shared" si="25"/>
        <v/>
      </c>
      <c r="I171" s="26" t="str">
        <f t="shared" si="26"/>
        <v/>
      </c>
    </row>
    <row r="172" spans="1:18">
      <c r="A172" s="1" t="str">
        <f>CarSoll!$F$14</f>
        <v>5</v>
      </c>
      <c r="B172" s="9">
        <f>IF(A172="","",IF(H162="",0,IF(H162="x",VLOOKUP(A172,CarSoll!$F$11:$S$19,IF(P164=1,9,4),FALSE),VLOOKUP(A172,CarSoll!$F$26:$S$34,IF(P164=1,9,4),FALSE))))</f>
        <v>0</v>
      </c>
      <c r="C172" s="7">
        <f>IF(A172="","",IF(B164="di coltello",IF(P164=0,0,1)*B172*R162,IF(P164=0,0,IF(P164=1,0.1,0.3))*B172*R162)*1.5)</f>
        <v>0</v>
      </c>
      <c r="D172" s="7">
        <f>IF(A172="","",C172*(1-P166))</f>
        <v>0</v>
      </c>
      <c r="E172" s="16"/>
      <c r="F172" s="26">
        <f>IF(A172="","",IF(P164=1,IF(H162="x",VLOOKUP(A172,CarSoll!$F$11:$S$19,11,FALSE),VLOOKUP(A172,CarSoll!$F$26:$S$34,11,FALSE)),0)*R162)</f>
        <v>0</v>
      </c>
      <c r="G172" s="24">
        <f t="shared" si="24"/>
        <v>0</v>
      </c>
      <c r="H172" s="25">
        <f t="shared" si="25"/>
        <v>0</v>
      </c>
      <c r="I172" s="26">
        <f t="shared" si="26"/>
        <v>0</v>
      </c>
    </row>
    <row r="173" spans="1:18">
      <c r="A173" s="1" t="str">
        <f>CarSoll!$F$15</f>
        <v>4</v>
      </c>
      <c r="B173" s="9">
        <f>IF(A173="","",IF(H162="",0,IF(H162="x",VLOOKUP(A173,CarSoll!$F$11:$S$19,IF(P164=1,9,4),FALSE),VLOOKUP(A173,CarSoll!$F$26:$S$34,IF(P164=1,9,4),FALSE))))</f>
        <v>0</v>
      </c>
      <c r="C173" s="7">
        <f>IF(A173="","",IF(B164="di coltello",IF(P164=0,0,1)*B173*R162,IF(P164=0,0,IF(P164=1,0.1,0.3))*B173*R162)*1.5)</f>
        <v>0</v>
      </c>
      <c r="D173" s="7">
        <f>IF(A173="","",C173*(1-P166))</f>
        <v>0</v>
      </c>
      <c r="E173" s="16"/>
      <c r="F173" s="26">
        <f>IF(A173="","",IF(P164=1,IF(H162="x",VLOOKUP(A173,CarSoll!$F$11:$S$19,11,FALSE),VLOOKUP(A173,CarSoll!$F$26:$S$34,11,FALSE)),0)*R162)</f>
        <v>0</v>
      </c>
      <c r="G173" s="24">
        <f t="shared" si="24"/>
        <v>0</v>
      </c>
      <c r="H173" s="25">
        <f t="shared" si="25"/>
        <v>0</v>
      </c>
      <c r="I173" s="26">
        <f t="shared" si="26"/>
        <v>0</v>
      </c>
    </row>
    <row r="174" spans="1:18">
      <c r="A174" s="1" t="str">
        <f>CarSoll!$F$16</f>
        <v>3</v>
      </c>
      <c r="B174" s="9">
        <f>IF(A174="","",IF(H162="",0,IF(H162="x",VLOOKUP(A174,CarSoll!$F$11:$S$19,IF(P164=1,9,4),FALSE),VLOOKUP(A174,CarSoll!$F$26:$S$34,IF(P164=1,9,4),FALSE))))</f>
        <v>0</v>
      </c>
      <c r="C174" s="7">
        <f>IF(A174="","",IF(B164="di coltello",IF(P164=0,0,1)*B174*R162,IF(P164=0,0,IF(P164=1,0.1,0.3))*B174*R162)*1.5)</f>
        <v>0</v>
      </c>
      <c r="D174" s="7">
        <f>IF(A174="","",C174*(1-P166))</f>
        <v>0</v>
      </c>
      <c r="E174" s="16"/>
      <c r="F174" s="26">
        <f>IF(A174="","",IF(P164=1,IF(H162="x",VLOOKUP(A174,CarSoll!$F$11:$S$19,11,FALSE),VLOOKUP(A174,CarSoll!$F$26:$S$34,11,FALSE)),0)*R162)</f>
        <v>0</v>
      </c>
      <c r="G174" s="24">
        <f t="shared" si="24"/>
        <v>0</v>
      </c>
      <c r="H174" s="25">
        <f t="shared" si="25"/>
        <v>0</v>
      </c>
      <c r="I174" s="26">
        <f t="shared" si="26"/>
        <v>0</v>
      </c>
      <c r="L174" s="29" t="s">
        <v>152</v>
      </c>
    </row>
    <row r="175" spans="1:18">
      <c r="A175" s="1" t="str">
        <f>CarSoll!$F$17</f>
        <v>2</v>
      </c>
      <c r="B175" s="9">
        <f>IF(A175="","",IF(H162="",0,IF(H162="x",VLOOKUP(A175,CarSoll!$F$11:$S$19,IF(P164=1,9,4),FALSE),VLOOKUP(A175,CarSoll!$F$26:$S$34,IF(P164=1,9,4),FALSE))))</f>
        <v>0</v>
      </c>
      <c r="C175" s="7">
        <f>IF(A175="","",IF(B164="di coltello",IF(P164=0,0,1)*B175*R162,IF(P164=0,0,IF(P164=1,0.1,0.3))*B175*R162)*1.5)</f>
        <v>0</v>
      </c>
      <c r="D175" s="7">
        <f>IF(A175="","",C175*(1-P166))</f>
        <v>0</v>
      </c>
      <c r="E175" s="16"/>
      <c r="F175" s="26">
        <f>IF(A175="","",IF(P164=1,IF(H162="x",VLOOKUP(A175,CarSoll!$F$11:$S$19,11,FALSE),VLOOKUP(A175,CarSoll!$F$26:$S$34,11,FALSE)),0)*R162)</f>
        <v>0</v>
      </c>
      <c r="G175" s="24">
        <f t="shared" si="24"/>
        <v>0</v>
      </c>
      <c r="H175" s="25">
        <f t="shared" si="25"/>
        <v>0</v>
      </c>
      <c r="I175" s="26">
        <f t="shared" si="26"/>
        <v>0</v>
      </c>
      <c r="L175" s="163"/>
      <c r="M175" s="163"/>
      <c r="N175" s="163"/>
      <c r="O175" s="163"/>
      <c r="P175" s="163"/>
      <c r="Q175" s="163"/>
      <c r="R175" s="163"/>
    </row>
    <row r="176" spans="1:18">
      <c r="A176" s="1" t="str">
        <f>CarSoll!$F$18</f>
        <v>1 testa</v>
      </c>
      <c r="B176" s="9">
        <f>IF(A176="","",IF(H162="",0,IF(H162="x",VLOOKUP(A176,CarSoll!$F$11:$S$19,IF(P164=1,9,4),FALSE),VLOOKUP(A176,CarSoll!$F$26:$S$34,IF(P164=1,9,4),FALSE))))</f>
        <v>0</v>
      </c>
      <c r="C176" s="7">
        <f>IF(A176="","",IF(B164="di coltello",IF(P164=0,0,1)*B176*R162,IF(P164=0,0,IF(P164=1,0.1,0.3))*B176*R162)*IF(A176="1 testa",1.5,1))</f>
        <v>0</v>
      </c>
      <c r="D176" s="7">
        <f>IF(A176="","",C176*(1-P166))</f>
        <v>0</v>
      </c>
      <c r="E176" s="16"/>
      <c r="F176" s="26">
        <f>IF(A176="","",IF(P164=1,IF(A176="2 piede",F175,IF(H162="x",VLOOKUP(A176,CarSoll!$F$11:$S$19,11,FALSE),VLOOKUP(A176,CarSoll!$F$26:$S$34,11,FALSE))*R162),0))</f>
        <v>0</v>
      </c>
      <c r="G176" s="24">
        <f t="shared" si="24"/>
        <v>0</v>
      </c>
      <c r="H176" s="25">
        <f t="shared" si="25"/>
        <v>0</v>
      </c>
      <c r="I176" s="26">
        <f t="shared" si="26"/>
        <v>0</v>
      </c>
      <c r="L176" s="163"/>
      <c r="M176" s="163"/>
      <c r="N176" s="163"/>
      <c r="O176" s="163"/>
      <c r="P176" s="163"/>
      <c r="Q176" s="163"/>
      <c r="R176" s="163"/>
    </row>
    <row r="177" spans="1:19">
      <c r="A177" s="1" t="str">
        <f>CarSoll!$F$19</f>
        <v>1 piede</v>
      </c>
      <c r="B177" s="9">
        <f>IF(A177="","",IF(H162="",0,IF(H162="x",VLOOKUP(A177,CarSoll!$F$11:$S$19,IF(P164=1,9,4),FALSE),VLOOKUP(A177,CarSoll!$F$26:$S$34,IF(P164=1,9,4),FALSE))))</f>
        <v>0</v>
      </c>
      <c r="C177" s="7">
        <f>IF(A177="","",IF(B164="di coltello",IF(P164=0,0,1)*B177*R162,IF(P164=0,0,IF(P164=1,0.1,0.3))*B177*R162))</f>
        <v>0</v>
      </c>
      <c r="D177" s="7">
        <f>IF(A177="","",C177)</f>
        <v>0</v>
      </c>
      <c r="E177" s="16"/>
      <c r="F177" s="26">
        <f>IF(A177="","",F176)</f>
        <v>0</v>
      </c>
      <c r="G177" s="24">
        <f t="shared" si="24"/>
        <v>0</v>
      </c>
      <c r="H177" s="25">
        <f t="shared" si="25"/>
        <v>0</v>
      </c>
      <c r="I177" s="26">
        <f t="shared" si="26"/>
        <v>0</v>
      </c>
      <c r="L177" s="163"/>
      <c r="M177" s="163"/>
      <c r="N177" s="163"/>
      <c r="O177" s="163"/>
      <c r="P177" s="163"/>
      <c r="Q177" s="163"/>
      <c r="R177" s="163"/>
    </row>
    <row r="179" spans="1:19" ht="13.15">
      <c r="F179" s="18" t="s">
        <v>134</v>
      </c>
      <c r="G179" s="19" t="s">
        <v>133</v>
      </c>
      <c r="H179" s="19" t="s">
        <v>133</v>
      </c>
      <c r="I179" s="19" t="s">
        <v>133</v>
      </c>
    </row>
    <row r="180" spans="1:19">
      <c r="A180" s="20"/>
      <c r="B180" s="20"/>
      <c r="C180" s="20"/>
      <c r="D180" s="20"/>
      <c r="E180" s="20"/>
      <c r="F180" s="20"/>
      <c r="G180" s="21"/>
      <c r="H180" s="22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</row>
    <row r="182" spans="1:19" ht="13.15">
      <c r="A182" s="2" t="s">
        <v>118</v>
      </c>
      <c r="B182" s="15"/>
      <c r="G182" s="4" t="s">
        <v>119</v>
      </c>
      <c r="H182" s="27"/>
      <c r="K182" s="4" t="s">
        <v>106</v>
      </c>
      <c r="L182" s="164"/>
      <c r="M182" s="164"/>
      <c r="N182" s="164"/>
      <c r="O182" s="165"/>
      <c r="Q182" s="4" t="s">
        <v>108</v>
      </c>
      <c r="R182" s="5"/>
    </row>
    <row r="183" spans="1:19">
      <c r="R183" s="10" t="str">
        <f>IF(OR(AND(L182="molto vicino al baricentro",R182&gt;1.05),AND(L182="distanza intermedia dal baricentro",OR(R182&lt;1.05,R182&gt;1.15)),AND(L182="molto distante dal baricentro",R182&lt;1.15)),"sei sicuro?","")</f>
        <v/>
      </c>
    </row>
    <row r="184" spans="1:19">
      <c r="A184" s="4" t="s">
        <v>118</v>
      </c>
      <c r="B184" s="164"/>
      <c r="C184" s="165"/>
      <c r="D184" s="11">
        <f>IF(B184="di coltello",0,10)</f>
        <v>10</v>
      </c>
      <c r="L184" s="4" t="s">
        <v>120</v>
      </c>
      <c r="M184" s="164"/>
      <c r="N184" s="165"/>
      <c r="O184" s="165"/>
      <c r="P184" s="28" t="str">
        <f>IF(M184="","",IF(M184="due travi emergenti",2,IF(M184="una trave emergente",1,0))+D184)</f>
        <v/>
      </c>
    </row>
    <row r="185" spans="1:19">
      <c r="A185" s="10" t="str">
        <f>IF(B184="a spessore","momento da  sisma trascurabile","")</f>
        <v/>
      </c>
      <c r="B185" s="17"/>
      <c r="D185" s="10" t="str">
        <f>IF(A185&lt;&gt;"","",IF(AND(G184="più corta delle altre",P184&gt;0),"il momento da sisma può essere maggiore delle previsioni",IF(AND(G184="più lunga delle altre",P184&gt;0),"il momento da sisma è probabilmente minore delle previsioni", "")))</f>
        <v/>
      </c>
      <c r="M185" s="10" t="str">
        <f>IF(P184=0,"il momento da sisma è poco rilevante","")</f>
        <v/>
      </c>
    </row>
    <row r="186" spans="1:19">
      <c r="N186" s="4" t="s">
        <v>153</v>
      </c>
      <c r="O186" s="1" t="s">
        <v>121</v>
      </c>
      <c r="P186" s="13"/>
    </row>
    <row r="187" spans="1:19" ht="13.15">
      <c r="A187" s="1" t="s">
        <v>50</v>
      </c>
      <c r="B187" s="166" t="s">
        <v>126</v>
      </c>
      <c r="C187" s="167"/>
      <c r="D187" s="167"/>
      <c r="E187" s="8" t="s">
        <v>128</v>
      </c>
      <c r="F187" s="1" t="s">
        <v>129</v>
      </c>
      <c r="G187" s="23" t="s">
        <v>130</v>
      </c>
      <c r="H187" s="8" t="s">
        <v>131</v>
      </c>
      <c r="I187" s="1" t="s">
        <v>132</v>
      </c>
    </row>
    <row r="188" spans="1:19">
      <c r="B188" s="8" t="s">
        <v>114</v>
      </c>
      <c r="C188" s="1" t="s">
        <v>115</v>
      </c>
      <c r="D188" s="1" t="s">
        <v>116</v>
      </c>
      <c r="E188" s="8"/>
      <c r="F188" s="1"/>
      <c r="G188" s="23" t="s">
        <v>116</v>
      </c>
      <c r="H188" s="8"/>
      <c r="I188" s="1"/>
    </row>
    <row r="189" spans="1:19">
      <c r="A189" s="1" t="str">
        <f>CarSoll!$F$11</f>
        <v/>
      </c>
      <c r="B189" s="9" t="str">
        <f>IF(A189="","",IF(H182="",0,IF(H182="x",VLOOKUP(A189,CarSoll!$F$11:$S$19,IF(P184=1,9,4),FALSE),VLOOKUP(A189,CarSoll!$F$26:$S$34,IF(P184=1,9,4),FALSE))))</f>
        <v/>
      </c>
      <c r="C189" s="7" t="str">
        <f>IF(A189="","",IF(B184="di coltello",IF(P184=0,0,1)*B189*R182,IF(P184=0,0,IF(P184=1,0.1,0.3))*B189*R182)*1.5)</f>
        <v/>
      </c>
      <c r="D189" s="7" t="str">
        <f>IF(A189="","",C189*(1-P186))</f>
        <v/>
      </c>
      <c r="E189" s="16"/>
      <c r="F189" s="26" t="str">
        <f>IF(A189="","",IF(P184=1,IF(H182="x",VLOOKUP(A189,CarSoll!$F$11:$S$19,11,FALSE),VLOOKUP(A189,CarSoll!$F$26:$S$34,11,FALSE)),0)*R182)</f>
        <v/>
      </c>
      <c r="G189" s="24" t="str">
        <f>D189</f>
        <v/>
      </c>
      <c r="H189" s="25" t="str">
        <f>IF(A189="","",E189+F189)</f>
        <v/>
      </c>
      <c r="I189" s="26" t="str">
        <f>IF(A189="","",E189-F189)</f>
        <v/>
      </c>
    </row>
    <row r="190" spans="1:19">
      <c r="A190" s="1" t="str">
        <f>CarSoll!$F$12</f>
        <v/>
      </c>
      <c r="B190" s="9" t="str">
        <f>IF(A190="","",IF(H182="",0,IF(H182="x",VLOOKUP(A190,CarSoll!$F$11:$S$19,IF(P184=1,9,4),FALSE),VLOOKUP(A190,CarSoll!$F$26:$S$34,IF(P184=1,9,4),FALSE))))</f>
        <v/>
      </c>
      <c r="C190" s="7" t="str">
        <f>IF(A190="","",IF(B184="di coltello",IF(P184=0,0,1)*B190*R182,IF(P184=0,0,IF(P184=1,0.1,0.3))*B190*R182)*1.5)</f>
        <v/>
      </c>
      <c r="D190" s="7" t="str">
        <f>IF(A190="","",C190*(1-P186))</f>
        <v/>
      </c>
      <c r="E190" s="16"/>
      <c r="F190" s="26" t="str">
        <f>IF(A190="","",IF(P184=1,IF(H182="x",VLOOKUP(A190,CarSoll!$F$11:$S$19,11,FALSE),VLOOKUP(A190,CarSoll!$F$26:$S$34,11,FALSE)),0)*R182)</f>
        <v/>
      </c>
      <c r="G190" s="24" t="str">
        <f t="shared" ref="G190:G197" si="27">D190</f>
        <v/>
      </c>
      <c r="H190" s="25" t="str">
        <f t="shared" ref="H190:H197" si="28">IF(A190="","",E190+F190)</f>
        <v/>
      </c>
      <c r="I190" s="26" t="str">
        <f t="shared" ref="I190:I197" si="29">IF(A190="","",E190-F190)</f>
        <v/>
      </c>
    </row>
    <row r="191" spans="1:19">
      <c r="A191" s="1" t="str">
        <f>CarSoll!$F$13</f>
        <v/>
      </c>
      <c r="B191" s="9" t="str">
        <f>IF(A191="","",IF(H182="",0,IF(H182="x",VLOOKUP(A191,CarSoll!$F$11:$S$19,IF(P184=1,9,4),FALSE),VLOOKUP(A191,CarSoll!$F$26:$S$34,IF(P184=1,9,4),FALSE))))</f>
        <v/>
      </c>
      <c r="C191" s="7" t="str">
        <f>IF(A191="","",IF(B184="di coltello",IF(P184=0,0,1)*B191*R182,IF(P184=0,0,IF(P184=1,0.1,0.3))*B191*R182)*1.5)</f>
        <v/>
      </c>
      <c r="D191" s="7" t="str">
        <f>IF(A191="","",C191*(1-P186))</f>
        <v/>
      </c>
      <c r="E191" s="16"/>
      <c r="F191" s="26" t="str">
        <f>IF(A191="","",IF(P184=1,IF(H182="x",VLOOKUP(A191,CarSoll!$F$11:$S$19,11,FALSE),VLOOKUP(A191,CarSoll!$F$26:$S$34,11,FALSE)),0)*R182)</f>
        <v/>
      </c>
      <c r="G191" s="24" t="str">
        <f t="shared" si="27"/>
        <v/>
      </c>
      <c r="H191" s="25" t="str">
        <f t="shared" si="28"/>
        <v/>
      </c>
      <c r="I191" s="26" t="str">
        <f t="shared" si="29"/>
        <v/>
      </c>
    </row>
    <row r="192" spans="1:19">
      <c r="A192" s="1" t="str">
        <f>CarSoll!$F$14</f>
        <v>5</v>
      </c>
      <c r="B192" s="9">
        <f>IF(A192="","",IF(H182="",0,IF(H182="x",VLOOKUP(A192,CarSoll!$F$11:$S$19,IF(P184=1,9,4),FALSE),VLOOKUP(A192,CarSoll!$F$26:$S$34,IF(P184=1,9,4),FALSE))))</f>
        <v>0</v>
      </c>
      <c r="C192" s="7">
        <f>IF(A192="","",IF(B184="di coltello",IF(P184=0,0,1)*B192*R182,IF(P184=0,0,IF(P184=1,0.1,0.3))*B192*R182)*1.5)</f>
        <v>0</v>
      </c>
      <c r="D192" s="7">
        <f>IF(A192="","",C192*(1-P186))</f>
        <v>0</v>
      </c>
      <c r="E192" s="16"/>
      <c r="F192" s="26">
        <f>IF(A192="","",IF(P184=1,IF(H182="x",VLOOKUP(A192,CarSoll!$F$11:$S$19,11,FALSE),VLOOKUP(A192,CarSoll!$F$26:$S$34,11,FALSE)),0)*R182)</f>
        <v>0</v>
      </c>
      <c r="G192" s="24">
        <f t="shared" si="27"/>
        <v>0</v>
      </c>
      <c r="H192" s="25">
        <f t="shared" si="28"/>
        <v>0</v>
      </c>
      <c r="I192" s="26">
        <f t="shared" si="29"/>
        <v>0</v>
      </c>
    </row>
    <row r="193" spans="1:19">
      <c r="A193" s="1" t="str">
        <f>CarSoll!$F$15</f>
        <v>4</v>
      </c>
      <c r="B193" s="9">
        <f>IF(A193="","",IF(H182="",0,IF(H182="x",VLOOKUP(A193,CarSoll!$F$11:$S$19,IF(P184=1,9,4),FALSE),VLOOKUP(A193,CarSoll!$F$26:$S$34,IF(P184=1,9,4),FALSE))))</f>
        <v>0</v>
      </c>
      <c r="C193" s="7">
        <f>IF(A193="","",IF(B184="di coltello",IF(P184=0,0,1)*B193*R182,IF(P184=0,0,IF(P184=1,0.1,0.3))*B193*R182)*1.5)</f>
        <v>0</v>
      </c>
      <c r="D193" s="7">
        <f>IF(A193="","",C193*(1-P186))</f>
        <v>0</v>
      </c>
      <c r="E193" s="16"/>
      <c r="F193" s="26">
        <f>IF(A193="","",IF(P184=1,IF(H182="x",VLOOKUP(A193,CarSoll!$F$11:$S$19,11,FALSE),VLOOKUP(A193,CarSoll!$F$26:$S$34,11,FALSE)),0)*R182)</f>
        <v>0</v>
      </c>
      <c r="G193" s="24">
        <f t="shared" si="27"/>
        <v>0</v>
      </c>
      <c r="H193" s="25">
        <f t="shared" si="28"/>
        <v>0</v>
      </c>
      <c r="I193" s="26">
        <f t="shared" si="29"/>
        <v>0</v>
      </c>
    </row>
    <row r="194" spans="1:19">
      <c r="A194" s="1" t="str">
        <f>CarSoll!$F$16</f>
        <v>3</v>
      </c>
      <c r="B194" s="9">
        <f>IF(A194="","",IF(H182="",0,IF(H182="x",VLOOKUP(A194,CarSoll!$F$11:$S$19,IF(P184=1,9,4),FALSE),VLOOKUP(A194,CarSoll!$F$26:$S$34,IF(P184=1,9,4),FALSE))))</f>
        <v>0</v>
      </c>
      <c r="C194" s="7">
        <f>IF(A194="","",IF(B184="di coltello",IF(P184=0,0,1)*B194*R182,IF(P184=0,0,IF(P184=1,0.1,0.3))*B194*R182)*1.5)</f>
        <v>0</v>
      </c>
      <c r="D194" s="7">
        <f>IF(A194="","",C194*(1-P186))</f>
        <v>0</v>
      </c>
      <c r="E194" s="16"/>
      <c r="F194" s="26">
        <f>IF(A194="","",IF(P184=1,IF(H182="x",VLOOKUP(A194,CarSoll!$F$11:$S$19,11,FALSE),VLOOKUP(A194,CarSoll!$F$26:$S$34,11,FALSE)),0)*R182)</f>
        <v>0</v>
      </c>
      <c r="G194" s="24">
        <f t="shared" si="27"/>
        <v>0</v>
      </c>
      <c r="H194" s="25">
        <f t="shared" si="28"/>
        <v>0</v>
      </c>
      <c r="I194" s="26">
        <f t="shared" si="29"/>
        <v>0</v>
      </c>
      <c r="L194" s="29" t="s">
        <v>152</v>
      </c>
    </row>
    <row r="195" spans="1:19">
      <c r="A195" s="1" t="str">
        <f>CarSoll!$F$17</f>
        <v>2</v>
      </c>
      <c r="B195" s="9">
        <f>IF(A195="","",IF(H182="",0,IF(H182="x",VLOOKUP(A195,CarSoll!$F$11:$S$19,IF(P184=1,9,4),FALSE),VLOOKUP(A195,CarSoll!$F$26:$S$34,IF(P184=1,9,4),FALSE))))</f>
        <v>0</v>
      </c>
      <c r="C195" s="7">
        <f>IF(A195="","",IF(B184="di coltello",IF(P184=0,0,1)*B195*R182,IF(P184=0,0,IF(P184=1,0.1,0.3))*B195*R182)*1.5)</f>
        <v>0</v>
      </c>
      <c r="D195" s="7">
        <f>IF(A195="","",C195*(1-P186))</f>
        <v>0</v>
      </c>
      <c r="E195" s="16"/>
      <c r="F195" s="26">
        <f>IF(A195="","",IF(P184=1,IF(H182="x",VLOOKUP(A195,CarSoll!$F$11:$S$19,11,FALSE),VLOOKUP(A195,CarSoll!$F$26:$S$34,11,FALSE)),0)*R182)</f>
        <v>0</v>
      </c>
      <c r="G195" s="24">
        <f t="shared" si="27"/>
        <v>0</v>
      </c>
      <c r="H195" s="25">
        <f t="shared" si="28"/>
        <v>0</v>
      </c>
      <c r="I195" s="26">
        <f t="shared" si="29"/>
        <v>0</v>
      </c>
      <c r="L195" s="163"/>
      <c r="M195" s="163"/>
      <c r="N195" s="163"/>
      <c r="O195" s="163"/>
      <c r="P195" s="163"/>
      <c r="Q195" s="163"/>
      <c r="R195" s="163"/>
    </row>
    <row r="196" spans="1:19">
      <c r="A196" s="1" t="str">
        <f>CarSoll!$F$18</f>
        <v>1 testa</v>
      </c>
      <c r="B196" s="9">
        <f>IF(A196="","",IF(H182="",0,IF(H182="x",VLOOKUP(A196,CarSoll!$F$11:$S$19,IF(P184=1,9,4),FALSE),VLOOKUP(A196,CarSoll!$F$26:$S$34,IF(P184=1,9,4),FALSE))))</f>
        <v>0</v>
      </c>
      <c r="C196" s="7">
        <f>IF(A196="","",IF(B184="di coltello",IF(P184=0,0,1)*B196*R182,IF(P184=0,0,IF(P184=1,0.1,0.3))*B196*R182)*IF(A196="1 testa",1.5,1))</f>
        <v>0</v>
      </c>
      <c r="D196" s="7">
        <f>IF(A196="","",C196*(1-P186))</f>
        <v>0</v>
      </c>
      <c r="E196" s="16"/>
      <c r="F196" s="26">
        <f>IF(A196="","",IF(P184=1,IF(A196="2 piede",F195,IF(H182="x",VLOOKUP(A196,CarSoll!$F$11:$S$19,11,FALSE),VLOOKUP(A196,CarSoll!$F$26:$S$34,11,FALSE))*R182),0))</f>
        <v>0</v>
      </c>
      <c r="G196" s="24">
        <f t="shared" si="27"/>
        <v>0</v>
      </c>
      <c r="H196" s="25">
        <f t="shared" si="28"/>
        <v>0</v>
      </c>
      <c r="I196" s="26">
        <f t="shared" si="29"/>
        <v>0</v>
      </c>
      <c r="L196" s="163"/>
      <c r="M196" s="163"/>
      <c r="N196" s="163"/>
      <c r="O196" s="163"/>
      <c r="P196" s="163"/>
      <c r="Q196" s="163"/>
      <c r="R196" s="163"/>
    </row>
    <row r="197" spans="1:19">
      <c r="A197" s="1" t="str">
        <f>CarSoll!$F$19</f>
        <v>1 piede</v>
      </c>
      <c r="B197" s="9">
        <f>IF(A197="","",IF(H182="",0,IF(H182="x",VLOOKUP(A197,CarSoll!$F$11:$S$19,IF(P184=1,9,4),FALSE),VLOOKUP(A197,CarSoll!$F$26:$S$34,IF(P184=1,9,4),FALSE))))</f>
        <v>0</v>
      </c>
      <c r="C197" s="7">
        <f>IF(A197="","",IF(B184="di coltello",IF(P184=0,0,1)*B197*R182,IF(P184=0,0,IF(P184=1,0.1,0.3))*B197*R182))</f>
        <v>0</v>
      </c>
      <c r="D197" s="7">
        <f>IF(A197="","",C197)</f>
        <v>0</v>
      </c>
      <c r="E197" s="16"/>
      <c r="F197" s="26">
        <f>IF(A197="","",F196)</f>
        <v>0</v>
      </c>
      <c r="G197" s="24">
        <f t="shared" si="27"/>
        <v>0</v>
      </c>
      <c r="H197" s="25">
        <f t="shared" si="28"/>
        <v>0</v>
      </c>
      <c r="I197" s="26">
        <f t="shared" si="29"/>
        <v>0</v>
      </c>
      <c r="L197" s="163"/>
      <c r="M197" s="163"/>
      <c r="N197" s="163"/>
      <c r="O197" s="163"/>
      <c r="P197" s="163"/>
      <c r="Q197" s="163"/>
      <c r="R197" s="163"/>
    </row>
    <row r="199" spans="1:19" ht="13.15">
      <c r="F199" s="18" t="s">
        <v>134</v>
      </c>
      <c r="G199" s="19" t="s">
        <v>133</v>
      </c>
      <c r="H199" s="19" t="s">
        <v>133</v>
      </c>
      <c r="I199" s="19" t="s">
        <v>133</v>
      </c>
    </row>
    <row r="200" spans="1:19">
      <c r="A200" s="20"/>
      <c r="B200" s="20"/>
      <c r="C200" s="20"/>
      <c r="D200" s="20"/>
      <c r="E200" s="20"/>
      <c r="F200" s="20"/>
      <c r="G200" s="21"/>
      <c r="H200" s="22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</row>
    <row r="202" spans="1:19" ht="13.15">
      <c r="A202" s="2" t="s">
        <v>118</v>
      </c>
      <c r="B202" s="15"/>
      <c r="G202" s="4" t="s">
        <v>119</v>
      </c>
      <c r="H202" s="27"/>
      <c r="K202" s="4" t="s">
        <v>106</v>
      </c>
      <c r="L202" s="164"/>
      <c r="M202" s="164"/>
      <c r="N202" s="164"/>
      <c r="O202" s="165"/>
      <c r="Q202" s="4" t="s">
        <v>108</v>
      </c>
      <c r="R202" s="5"/>
    </row>
    <row r="203" spans="1:19">
      <c r="R203" s="10" t="str">
        <f>IF(OR(AND(L202="molto vicino al baricentro",R202&gt;1.05),AND(L202="distanza intermedia dal baricentro",OR(R202&lt;1.05,R202&gt;1.15)),AND(L202="molto distante dal baricentro",R202&lt;1.15)),"sei sicuro?","")</f>
        <v/>
      </c>
    </row>
    <row r="204" spans="1:19">
      <c r="A204" s="4" t="s">
        <v>118</v>
      </c>
      <c r="B204" s="164"/>
      <c r="C204" s="165"/>
      <c r="D204" s="11">
        <f>IF(B204="di coltello",0,10)</f>
        <v>10</v>
      </c>
      <c r="L204" s="4" t="s">
        <v>120</v>
      </c>
      <c r="M204" s="164"/>
      <c r="N204" s="165"/>
      <c r="O204" s="165"/>
      <c r="P204" s="28" t="str">
        <f>IF(M204="","",IF(M204="due travi emergenti",2,IF(M204="una trave emergente",1,0))+D204)</f>
        <v/>
      </c>
    </row>
    <row r="205" spans="1:19">
      <c r="A205" s="10" t="str">
        <f>IF(B204="a spessore","momento da  sisma trascurabile","")</f>
        <v/>
      </c>
      <c r="B205" s="17"/>
      <c r="D205" s="10" t="str">
        <f>IF(A205&lt;&gt;"","",IF(AND(G204="più corta delle altre",P204&gt;0),"il momento da sisma può essere maggiore delle previsioni",IF(AND(G204="più lunga delle altre",P204&gt;0),"il momento da sisma è probabilmente minore delle previsioni", "")))</f>
        <v/>
      </c>
      <c r="M205" s="10" t="str">
        <f>IF(P204=0,"il momento da sisma è poco rilevante","")</f>
        <v/>
      </c>
    </row>
    <row r="206" spans="1:19">
      <c r="N206" s="4" t="s">
        <v>153</v>
      </c>
      <c r="O206" s="1" t="s">
        <v>121</v>
      </c>
      <c r="P206" s="13"/>
    </row>
    <row r="207" spans="1:19" ht="13.15">
      <c r="A207" s="1" t="s">
        <v>50</v>
      </c>
      <c r="B207" s="166" t="s">
        <v>126</v>
      </c>
      <c r="C207" s="167"/>
      <c r="D207" s="167"/>
      <c r="E207" s="8" t="s">
        <v>128</v>
      </c>
      <c r="F207" s="1" t="s">
        <v>129</v>
      </c>
      <c r="G207" s="23" t="s">
        <v>130</v>
      </c>
      <c r="H207" s="8" t="s">
        <v>131</v>
      </c>
      <c r="I207" s="1" t="s">
        <v>132</v>
      </c>
    </row>
    <row r="208" spans="1:19">
      <c r="B208" s="8" t="s">
        <v>114</v>
      </c>
      <c r="C208" s="1" t="s">
        <v>115</v>
      </c>
      <c r="D208" s="1" t="s">
        <v>116</v>
      </c>
      <c r="E208" s="8"/>
      <c r="F208" s="1"/>
      <c r="G208" s="23" t="s">
        <v>116</v>
      </c>
      <c r="H208" s="8"/>
      <c r="I208" s="1"/>
    </row>
    <row r="209" spans="1:19">
      <c r="A209" s="1" t="str">
        <f>CarSoll!$F$11</f>
        <v/>
      </c>
      <c r="B209" s="9" t="str">
        <f>IF(A209="","",IF(H202="",0,IF(H202="x",VLOOKUP(A209,CarSoll!$F$11:$S$19,IF(P204=1,9,4),FALSE),VLOOKUP(A209,CarSoll!$F$26:$S$34,IF(P204=1,9,4),FALSE))))</f>
        <v/>
      </c>
      <c r="C209" s="7" t="str">
        <f>IF(A209="","",IF(B204="di coltello",IF(P204=0,0,1)*B209*R202,IF(P204=0,0,IF(P204=1,0.1,0.3))*B209*R202)*1.5)</f>
        <v/>
      </c>
      <c r="D209" s="7" t="str">
        <f>IF(A209="","",C209*(1-P206))</f>
        <v/>
      </c>
      <c r="E209" s="16"/>
      <c r="F209" s="26" t="str">
        <f>IF(A209="","",IF(P204=1,IF(H202="x",VLOOKUP(A209,CarSoll!$F$11:$S$19,11,FALSE),VLOOKUP(A209,CarSoll!$F$26:$S$34,11,FALSE)),0)*R202)</f>
        <v/>
      </c>
      <c r="G209" s="24" t="str">
        <f>D209</f>
        <v/>
      </c>
      <c r="H209" s="25" t="str">
        <f>IF(A209="","",E209+F209)</f>
        <v/>
      </c>
      <c r="I209" s="26" t="str">
        <f>IF(A209="","",E209-F209)</f>
        <v/>
      </c>
    </row>
    <row r="210" spans="1:19">
      <c r="A210" s="1" t="str">
        <f>CarSoll!$F$12</f>
        <v/>
      </c>
      <c r="B210" s="9" t="str">
        <f>IF(A210="","",IF(H202="",0,IF(H202="x",VLOOKUP(A210,CarSoll!$F$11:$S$19,IF(P204=1,9,4),FALSE),VLOOKUP(A210,CarSoll!$F$26:$S$34,IF(P204=1,9,4),FALSE))))</f>
        <v/>
      </c>
      <c r="C210" s="7" t="str">
        <f>IF(A210="","",IF(B204="di coltello",IF(P204=0,0,1)*B210*R202,IF(P204=0,0,IF(P204=1,0.1,0.3))*B210*R202)*1.5)</f>
        <v/>
      </c>
      <c r="D210" s="7" t="str">
        <f>IF(A210="","",C210*(1-P206))</f>
        <v/>
      </c>
      <c r="E210" s="16"/>
      <c r="F210" s="26" t="str">
        <f>IF(A210="","",IF(P204=1,IF(H202="x",VLOOKUP(A210,CarSoll!$F$11:$S$19,11,FALSE),VLOOKUP(A210,CarSoll!$F$26:$S$34,11,FALSE)),0)*R202)</f>
        <v/>
      </c>
      <c r="G210" s="24" t="str">
        <f t="shared" ref="G210:G217" si="30">D210</f>
        <v/>
      </c>
      <c r="H210" s="25" t="str">
        <f t="shared" ref="H210:H217" si="31">IF(A210="","",E210+F210)</f>
        <v/>
      </c>
      <c r="I210" s="26" t="str">
        <f t="shared" ref="I210:I217" si="32">IF(A210="","",E210-F210)</f>
        <v/>
      </c>
    </row>
    <row r="211" spans="1:19">
      <c r="A211" s="1" t="str">
        <f>CarSoll!$F$13</f>
        <v/>
      </c>
      <c r="B211" s="9" t="str">
        <f>IF(A211="","",IF(H202="",0,IF(H202="x",VLOOKUP(A211,CarSoll!$F$11:$S$19,IF(P204=1,9,4),FALSE),VLOOKUP(A211,CarSoll!$F$26:$S$34,IF(P204=1,9,4),FALSE))))</f>
        <v/>
      </c>
      <c r="C211" s="7" t="str">
        <f>IF(A211="","",IF(B204="di coltello",IF(P204=0,0,1)*B211*R202,IF(P204=0,0,IF(P204=1,0.1,0.3))*B211*R202)*1.5)</f>
        <v/>
      </c>
      <c r="D211" s="7" t="str">
        <f>IF(A211="","",C211*(1-P206))</f>
        <v/>
      </c>
      <c r="E211" s="16"/>
      <c r="F211" s="26" t="str">
        <f>IF(A211="","",IF(P204=1,IF(H202="x",VLOOKUP(A211,CarSoll!$F$11:$S$19,11,FALSE),VLOOKUP(A211,CarSoll!$F$26:$S$34,11,FALSE)),0)*R202)</f>
        <v/>
      </c>
      <c r="G211" s="24" t="str">
        <f t="shared" si="30"/>
        <v/>
      </c>
      <c r="H211" s="25" t="str">
        <f t="shared" si="31"/>
        <v/>
      </c>
      <c r="I211" s="26" t="str">
        <f t="shared" si="32"/>
        <v/>
      </c>
    </row>
    <row r="212" spans="1:19">
      <c r="A212" s="1" t="str">
        <f>CarSoll!$F$14</f>
        <v>5</v>
      </c>
      <c r="B212" s="9">
        <f>IF(A212="","",IF(H202="",0,IF(H202="x",VLOOKUP(A212,CarSoll!$F$11:$S$19,IF(P204=1,9,4),FALSE),VLOOKUP(A212,CarSoll!$F$26:$S$34,IF(P204=1,9,4),FALSE))))</f>
        <v>0</v>
      </c>
      <c r="C212" s="7">
        <f>IF(A212="","",IF(B204="di coltello",IF(P204=0,0,1)*B212*R202,IF(P204=0,0,IF(P204=1,0.1,0.3))*B212*R202)*1.5)</f>
        <v>0</v>
      </c>
      <c r="D212" s="7">
        <f>IF(A212="","",C212*(1-P206))</f>
        <v>0</v>
      </c>
      <c r="E212" s="16"/>
      <c r="F212" s="26">
        <f>IF(A212="","",IF(P204=1,IF(H202="x",VLOOKUP(A212,CarSoll!$F$11:$S$19,11,FALSE),VLOOKUP(A212,CarSoll!$F$26:$S$34,11,FALSE)),0)*R202)</f>
        <v>0</v>
      </c>
      <c r="G212" s="24">
        <f t="shared" si="30"/>
        <v>0</v>
      </c>
      <c r="H212" s="25">
        <f t="shared" si="31"/>
        <v>0</v>
      </c>
      <c r="I212" s="26">
        <f t="shared" si="32"/>
        <v>0</v>
      </c>
    </row>
    <row r="213" spans="1:19">
      <c r="A213" s="1" t="str">
        <f>CarSoll!$F$15</f>
        <v>4</v>
      </c>
      <c r="B213" s="9">
        <f>IF(A213="","",IF(H202="",0,IF(H202="x",VLOOKUP(A213,CarSoll!$F$11:$S$19,IF(P204=1,9,4),FALSE),VLOOKUP(A213,CarSoll!$F$26:$S$34,IF(P204=1,9,4),FALSE))))</f>
        <v>0</v>
      </c>
      <c r="C213" s="7">
        <f>IF(A213="","",IF(B204="di coltello",IF(P204=0,0,1)*B213*R202,IF(P204=0,0,IF(P204=1,0.1,0.3))*B213*R202)*1.5)</f>
        <v>0</v>
      </c>
      <c r="D213" s="7">
        <f>IF(A213="","",C213*(1-P206))</f>
        <v>0</v>
      </c>
      <c r="E213" s="16"/>
      <c r="F213" s="26">
        <f>IF(A213="","",IF(P204=1,IF(H202="x",VLOOKUP(A213,CarSoll!$F$11:$S$19,11,FALSE),VLOOKUP(A213,CarSoll!$F$26:$S$34,11,FALSE)),0)*R202)</f>
        <v>0</v>
      </c>
      <c r="G213" s="24">
        <f t="shared" si="30"/>
        <v>0</v>
      </c>
      <c r="H213" s="25">
        <f t="shared" si="31"/>
        <v>0</v>
      </c>
      <c r="I213" s="26">
        <f t="shared" si="32"/>
        <v>0</v>
      </c>
    </row>
    <row r="214" spans="1:19">
      <c r="A214" s="1" t="str">
        <f>CarSoll!$F$16</f>
        <v>3</v>
      </c>
      <c r="B214" s="9">
        <f>IF(A214="","",IF(H202="",0,IF(H202="x",VLOOKUP(A214,CarSoll!$F$11:$S$19,IF(P204=1,9,4),FALSE),VLOOKUP(A214,CarSoll!$F$26:$S$34,IF(P204=1,9,4),FALSE))))</f>
        <v>0</v>
      </c>
      <c r="C214" s="7">
        <f>IF(A214="","",IF(B204="di coltello",IF(P204=0,0,1)*B214*R202,IF(P204=0,0,IF(P204=1,0.1,0.3))*B214*R202)*1.5)</f>
        <v>0</v>
      </c>
      <c r="D214" s="7">
        <f>IF(A214="","",C214*(1-P206))</f>
        <v>0</v>
      </c>
      <c r="E214" s="16"/>
      <c r="F214" s="26">
        <f>IF(A214="","",IF(P204=1,IF(H202="x",VLOOKUP(A214,CarSoll!$F$11:$S$19,11,FALSE),VLOOKUP(A214,CarSoll!$F$26:$S$34,11,FALSE)),0)*R202)</f>
        <v>0</v>
      </c>
      <c r="G214" s="24">
        <f t="shared" si="30"/>
        <v>0</v>
      </c>
      <c r="H214" s="25">
        <f t="shared" si="31"/>
        <v>0</v>
      </c>
      <c r="I214" s="26">
        <f t="shared" si="32"/>
        <v>0</v>
      </c>
      <c r="L214" s="29" t="s">
        <v>152</v>
      </c>
    </row>
    <row r="215" spans="1:19">
      <c r="A215" s="1" t="str">
        <f>CarSoll!$F$17</f>
        <v>2</v>
      </c>
      <c r="B215" s="9">
        <f>IF(A215="","",IF(H202="",0,IF(H202="x",VLOOKUP(A215,CarSoll!$F$11:$S$19,IF(P204=1,9,4),FALSE),VLOOKUP(A215,CarSoll!$F$26:$S$34,IF(P204=1,9,4),FALSE))))</f>
        <v>0</v>
      </c>
      <c r="C215" s="7">
        <f>IF(A215="","",IF(B204="di coltello",IF(P204=0,0,1)*B215*R202,IF(P204=0,0,IF(P204=1,0.1,0.3))*B215*R202)*1.5)</f>
        <v>0</v>
      </c>
      <c r="D215" s="7">
        <f>IF(A215="","",C215*(1-P206))</f>
        <v>0</v>
      </c>
      <c r="E215" s="16"/>
      <c r="F215" s="26">
        <f>IF(A215="","",IF(P204=1,IF(H202="x",VLOOKUP(A215,CarSoll!$F$11:$S$19,11,FALSE),VLOOKUP(A215,CarSoll!$F$26:$S$34,11,FALSE)),0)*R202)</f>
        <v>0</v>
      </c>
      <c r="G215" s="24">
        <f t="shared" si="30"/>
        <v>0</v>
      </c>
      <c r="H215" s="25">
        <f t="shared" si="31"/>
        <v>0</v>
      </c>
      <c r="I215" s="26">
        <f t="shared" si="32"/>
        <v>0</v>
      </c>
      <c r="L215" s="163"/>
      <c r="M215" s="163"/>
      <c r="N215" s="163"/>
      <c r="O215" s="163"/>
      <c r="P215" s="163"/>
      <c r="Q215" s="163"/>
      <c r="R215" s="163"/>
    </row>
    <row r="216" spans="1:19">
      <c r="A216" s="1" t="str">
        <f>CarSoll!$F$18</f>
        <v>1 testa</v>
      </c>
      <c r="B216" s="9">
        <f>IF(A216="","",IF(H202="",0,IF(H202="x",VLOOKUP(A216,CarSoll!$F$11:$S$19,IF(P204=1,9,4),FALSE),VLOOKUP(A216,CarSoll!$F$26:$S$34,IF(P204=1,9,4),FALSE))))</f>
        <v>0</v>
      </c>
      <c r="C216" s="7">
        <f>IF(A216="","",IF(B204="di coltello",IF(P204=0,0,1)*B216*R202,IF(P204=0,0,IF(P204=1,0.1,0.3))*B216*R202)*IF(A216="1 testa",1.5,1))</f>
        <v>0</v>
      </c>
      <c r="D216" s="7">
        <f>IF(A216="","",C216*(1-P206))</f>
        <v>0</v>
      </c>
      <c r="E216" s="16"/>
      <c r="F216" s="26">
        <f>IF(A216="","",IF(P204=1,IF(A216="2 piede",F215,IF(H202="x",VLOOKUP(A216,CarSoll!$F$11:$S$19,11,FALSE),VLOOKUP(A216,CarSoll!$F$26:$S$34,11,FALSE))*R202),0))</f>
        <v>0</v>
      </c>
      <c r="G216" s="24">
        <f t="shared" si="30"/>
        <v>0</v>
      </c>
      <c r="H216" s="25">
        <f t="shared" si="31"/>
        <v>0</v>
      </c>
      <c r="I216" s="26">
        <f t="shared" si="32"/>
        <v>0</v>
      </c>
      <c r="L216" s="163"/>
      <c r="M216" s="163"/>
      <c r="N216" s="163"/>
      <c r="O216" s="163"/>
      <c r="P216" s="163"/>
      <c r="Q216" s="163"/>
      <c r="R216" s="163"/>
    </row>
    <row r="217" spans="1:19">
      <c r="A217" s="1" t="str">
        <f>CarSoll!$F$19</f>
        <v>1 piede</v>
      </c>
      <c r="B217" s="9">
        <f>IF(A217="","",IF(H202="",0,IF(H202="x",VLOOKUP(A217,CarSoll!$F$11:$S$19,IF(P204=1,9,4),FALSE),VLOOKUP(A217,CarSoll!$F$26:$S$34,IF(P204=1,9,4),FALSE))))</f>
        <v>0</v>
      </c>
      <c r="C217" s="7">
        <f>IF(A217="","",IF(B204="di coltello",IF(P204=0,0,1)*B217*R202,IF(P204=0,0,IF(P204=1,0.1,0.3))*B217*R202))</f>
        <v>0</v>
      </c>
      <c r="D217" s="7">
        <f>IF(A217="","",C217)</f>
        <v>0</v>
      </c>
      <c r="E217" s="16"/>
      <c r="F217" s="26">
        <f>IF(A217="","",F216)</f>
        <v>0</v>
      </c>
      <c r="G217" s="24">
        <f t="shared" si="30"/>
        <v>0</v>
      </c>
      <c r="H217" s="25">
        <f t="shared" si="31"/>
        <v>0</v>
      </c>
      <c r="I217" s="26">
        <f t="shared" si="32"/>
        <v>0</v>
      </c>
      <c r="L217" s="163"/>
      <c r="M217" s="163"/>
      <c r="N217" s="163"/>
      <c r="O217" s="163"/>
      <c r="P217" s="163"/>
      <c r="Q217" s="163"/>
      <c r="R217" s="163"/>
    </row>
    <row r="219" spans="1:19" ht="13.15">
      <c r="F219" s="18" t="s">
        <v>134</v>
      </c>
      <c r="G219" s="19" t="s">
        <v>133</v>
      </c>
      <c r="H219" s="19" t="s">
        <v>133</v>
      </c>
      <c r="I219" s="19" t="s">
        <v>133</v>
      </c>
    </row>
    <row r="220" spans="1:19">
      <c r="A220" s="20"/>
      <c r="B220" s="20"/>
      <c r="C220" s="20"/>
      <c r="D220" s="20"/>
      <c r="E220" s="20"/>
      <c r="F220" s="20"/>
      <c r="G220" s="21"/>
      <c r="H220" s="22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</row>
    <row r="222" spans="1:19" ht="13.15">
      <c r="A222" s="2" t="s">
        <v>118</v>
      </c>
      <c r="B222" s="15"/>
      <c r="G222" s="4" t="s">
        <v>119</v>
      </c>
      <c r="H222" s="27"/>
      <c r="K222" s="4" t="s">
        <v>106</v>
      </c>
      <c r="L222" s="164"/>
      <c r="M222" s="164"/>
      <c r="N222" s="164"/>
      <c r="O222" s="165"/>
      <c r="Q222" s="4" t="s">
        <v>108</v>
      </c>
      <c r="R222" s="5"/>
    </row>
    <row r="223" spans="1:19">
      <c r="R223" s="10" t="str">
        <f>IF(OR(AND(L222="molto vicino al baricentro",R222&gt;1.05),AND(L222="distanza intermedia dal baricentro",OR(R222&lt;1.05,R222&gt;1.15)),AND(L222="molto distante dal baricentro",R222&lt;1.15)),"sei sicuro?","")</f>
        <v/>
      </c>
    </row>
    <row r="224" spans="1:19">
      <c r="A224" s="4" t="s">
        <v>118</v>
      </c>
      <c r="B224" s="164"/>
      <c r="C224" s="165"/>
      <c r="D224" s="11">
        <f>IF(B224="di coltello",0,10)</f>
        <v>10</v>
      </c>
      <c r="L224" s="4" t="s">
        <v>120</v>
      </c>
      <c r="M224" s="164"/>
      <c r="N224" s="165"/>
      <c r="O224" s="165"/>
      <c r="P224" s="28" t="str">
        <f>IF(M224="","",IF(M224="due travi emergenti",2,IF(M224="una trave emergente",1,0))+D224)</f>
        <v/>
      </c>
    </row>
    <row r="225" spans="1:19">
      <c r="A225" s="10" t="str">
        <f>IF(B224="a spessore","momento da  sisma trascurabile","")</f>
        <v/>
      </c>
      <c r="B225" s="17"/>
      <c r="D225" s="10" t="str">
        <f>IF(A225&lt;&gt;"","",IF(AND(G224="più corta delle altre",P224&gt;0),"il momento da sisma può essere maggiore delle previsioni",IF(AND(G224="più lunga delle altre",P224&gt;0),"il momento da sisma è probabilmente minore delle previsioni", "")))</f>
        <v/>
      </c>
      <c r="M225" s="10" t="str">
        <f>IF(P224=0,"il momento da sisma è poco rilevante","")</f>
        <v/>
      </c>
    </row>
    <row r="226" spans="1:19">
      <c r="N226" s="4" t="s">
        <v>153</v>
      </c>
      <c r="O226" s="1" t="s">
        <v>121</v>
      </c>
      <c r="P226" s="13"/>
    </row>
    <row r="227" spans="1:19" ht="13.15">
      <c r="A227" s="1" t="s">
        <v>50</v>
      </c>
      <c r="B227" s="166" t="s">
        <v>126</v>
      </c>
      <c r="C227" s="167"/>
      <c r="D227" s="167"/>
      <c r="E227" s="8" t="s">
        <v>128</v>
      </c>
      <c r="F227" s="1" t="s">
        <v>129</v>
      </c>
      <c r="G227" s="23" t="s">
        <v>130</v>
      </c>
      <c r="H227" s="8" t="s">
        <v>131</v>
      </c>
      <c r="I227" s="1" t="s">
        <v>132</v>
      </c>
    </row>
    <row r="228" spans="1:19">
      <c r="B228" s="8" t="s">
        <v>114</v>
      </c>
      <c r="C228" s="1" t="s">
        <v>115</v>
      </c>
      <c r="D228" s="1" t="s">
        <v>116</v>
      </c>
      <c r="E228" s="8"/>
      <c r="F228" s="1"/>
      <c r="G228" s="23" t="s">
        <v>116</v>
      </c>
      <c r="H228" s="8"/>
      <c r="I228" s="1"/>
    </row>
    <row r="229" spans="1:19">
      <c r="A229" s="1" t="str">
        <f>CarSoll!$F$11</f>
        <v/>
      </c>
      <c r="B229" s="9" t="str">
        <f>IF(A229="","",IF(H222="",0,IF(H222="x",VLOOKUP(A229,CarSoll!$F$11:$S$19,IF(P224=1,9,4),FALSE),VLOOKUP(A229,CarSoll!$F$26:$S$34,IF(P224=1,9,4),FALSE))))</f>
        <v/>
      </c>
      <c r="C229" s="7" t="str">
        <f>IF(A229="","",IF(B224="di coltello",IF(P224=0,0,1)*B229*R222,IF(P224=0,0,IF(P224=1,0.1,0.3))*B229*R222)*1.5)</f>
        <v/>
      </c>
      <c r="D229" s="7" t="str">
        <f>IF(A229="","",C229*(1-P226))</f>
        <v/>
      </c>
      <c r="E229" s="16"/>
      <c r="F229" s="26" t="str">
        <f>IF(A229="","",IF(P224=1,IF(H222="x",VLOOKUP(A229,CarSoll!$F$11:$S$19,11,FALSE),VLOOKUP(A229,CarSoll!$F$26:$S$34,11,FALSE)),0)*R222)</f>
        <v/>
      </c>
      <c r="G229" s="24" t="str">
        <f>D229</f>
        <v/>
      </c>
      <c r="H229" s="25" t="str">
        <f>IF(A229="","",E229+F229)</f>
        <v/>
      </c>
      <c r="I229" s="26" t="str">
        <f>IF(A229="","",E229-F229)</f>
        <v/>
      </c>
    </row>
    <row r="230" spans="1:19">
      <c r="A230" s="1" t="str">
        <f>CarSoll!$F$12</f>
        <v/>
      </c>
      <c r="B230" s="9" t="str">
        <f>IF(A230="","",IF(H222="",0,IF(H222="x",VLOOKUP(A230,CarSoll!$F$11:$S$19,IF(P224=1,9,4),FALSE),VLOOKUP(A230,CarSoll!$F$26:$S$34,IF(P224=1,9,4),FALSE))))</f>
        <v/>
      </c>
      <c r="C230" s="7" t="str">
        <f>IF(A230="","",IF(B224="di coltello",IF(P224=0,0,1)*B230*R222,IF(P224=0,0,IF(P224=1,0.1,0.3))*B230*R222)*1.5)</f>
        <v/>
      </c>
      <c r="D230" s="7" t="str">
        <f>IF(A230="","",C230*(1-P226))</f>
        <v/>
      </c>
      <c r="E230" s="16"/>
      <c r="F230" s="26" t="str">
        <f>IF(A230="","",IF(P224=1,IF(H222="x",VLOOKUP(A230,CarSoll!$F$11:$S$19,11,FALSE),VLOOKUP(A230,CarSoll!$F$26:$S$34,11,FALSE)),0)*R222)</f>
        <v/>
      </c>
      <c r="G230" s="24" t="str">
        <f t="shared" ref="G230:G237" si="33">D230</f>
        <v/>
      </c>
      <c r="H230" s="25" t="str">
        <f t="shared" ref="H230:H237" si="34">IF(A230="","",E230+F230)</f>
        <v/>
      </c>
      <c r="I230" s="26" t="str">
        <f t="shared" ref="I230:I237" si="35">IF(A230="","",E230-F230)</f>
        <v/>
      </c>
    </row>
    <row r="231" spans="1:19">
      <c r="A231" s="1" t="str">
        <f>CarSoll!$F$13</f>
        <v/>
      </c>
      <c r="B231" s="9" t="str">
        <f>IF(A231="","",IF(H222="",0,IF(H222="x",VLOOKUP(A231,CarSoll!$F$11:$S$19,IF(P224=1,9,4),FALSE),VLOOKUP(A231,CarSoll!$F$26:$S$34,IF(P224=1,9,4),FALSE))))</f>
        <v/>
      </c>
      <c r="C231" s="7" t="str">
        <f>IF(A231="","",IF(B224="di coltello",IF(P224=0,0,1)*B231*R222,IF(P224=0,0,IF(P224=1,0.1,0.3))*B231*R222)*1.5)</f>
        <v/>
      </c>
      <c r="D231" s="7" t="str">
        <f>IF(A231="","",C231*(1-P226))</f>
        <v/>
      </c>
      <c r="E231" s="16"/>
      <c r="F231" s="26" t="str">
        <f>IF(A231="","",IF(P224=1,IF(H222="x",VLOOKUP(A231,CarSoll!$F$11:$S$19,11,FALSE),VLOOKUP(A231,CarSoll!$F$26:$S$34,11,FALSE)),0)*R222)</f>
        <v/>
      </c>
      <c r="G231" s="24" t="str">
        <f t="shared" si="33"/>
        <v/>
      </c>
      <c r="H231" s="25" t="str">
        <f t="shared" si="34"/>
        <v/>
      </c>
      <c r="I231" s="26" t="str">
        <f t="shared" si="35"/>
        <v/>
      </c>
    </row>
    <row r="232" spans="1:19">
      <c r="A232" s="1" t="str">
        <f>CarSoll!$F$14</f>
        <v>5</v>
      </c>
      <c r="B232" s="9">
        <f>IF(A232="","",IF(H222="",0,IF(H222="x",VLOOKUP(A232,CarSoll!$F$11:$S$19,IF(P224=1,9,4),FALSE),VLOOKUP(A232,CarSoll!$F$26:$S$34,IF(P224=1,9,4),FALSE))))</f>
        <v>0</v>
      </c>
      <c r="C232" s="7">
        <f>IF(A232="","",IF(B224="di coltello",IF(P224=0,0,1)*B232*R222,IF(P224=0,0,IF(P224=1,0.1,0.3))*B232*R222)*1.5)</f>
        <v>0</v>
      </c>
      <c r="D232" s="7">
        <f>IF(A232="","",C232*(1-P226))</f>
        <v>0</v>
      </c>
      <c r="E232" s="16"/>
      <c r="F232" s="26">
        <f>IF(A232="","",IF(P224=1,IF(H222="x",VLOOKUP(A232,CarSoll!$F$11:$S$19,11,FALSE),VLOOKUP(A232,CarSoll!$F$26:$S$34,11,FALSE)),0)*R222)</f>
        <v>0</v>
      </c>
      <c r="G232" s="24">
        <f t="shared" si="33"/>
        <v>0</v>
      </c>
      <c r="H232" s="25">
        <f t="shared" si="34"/>
        <v>0</v>
      </c>
      <c r="I232" s="26">
        <f t="shared" si="35"/>
        <v>0</v>
      </c>
    </row>
    <row r="233" spans="1:19">
      <c r="A233" s="1" t="str">
        <f>CarSoll!$F$15</f>
        <v>4</v>
      </c>
      <c r="B233" s="9">
        <f>IF(A233="","",IF(H222="",0,IF(H222="x",VLOOKUP(A233,CarSoll!$F$11:$S$19,IF(P224=1,9,4),FALSE),VLOOKUP(A233,CarSoll!$F$26:$S$34,IF(P224=1,9,4),FALSE))))</f>
        <v>0</v>
      </c>
      <c r="C233" s="7">
        <f>IF(A233="","",IF(B224="di coltello",IF(P224=0,0,1)*B233*R222,IF(P224=0,0,IF(P224=1,0.1,0.3))*B233*R222)*1.5)</f>
        <v>0</v>
      </c>
      <c r="D233" s="7">
        <f>IF(A233="","",C233*(1-P226))</f>
        <v>0</v>
      </c>
      <c r="E233" s="16"/>
      <c r="F233" s="26">
        <f>IF(A233="","",IF(P224=1,IF(H222="x",VLOOKUP(A233,CarSoll!$F$11:$S$19,11,FALSE),VLOOKUP(A233,CarSoll!$F$26:$S$34,11,FALSE)),0)*R222)</f>
        <v>0</v>
      </c>
      <c r="G233" s="24">
        <f t="shared" si="33"/>
        <v>0</v>
      </c>
      <c r="H233" s="25">
        <f t="shared" si="34"/>
        <v>0</v>
      </c>
      <c r="I233" s="26">
        <f t="shared" si="35"/>
        <v>0</v>
      </c>
    </row>
    <row r="234" spans="1:19">
      <c r="A234" s="1" t="str">
        <f>CarSoll!$F$16</f>
        <v>3</v>
      </c>
      <c r="B234" s="9">
        <f>IF(A234="","",IF(H222="",0,IF(H222="x",VLOOKUP(A234,CarSoll!$F$11:$S$19,IF(P224=1,9,4),FALSE),VLOOKUP(A234,CarSoll!$F$26:$S$34,IF(P224=1,9,4),FALSE))))</f>
        <v>0</v>
      </c>
      <c r="C234" s="7">
        <f>IF(A234="","",IF(B224="di coltello",IF(P224=0,0,1)*B234*R222,IF(P224=0,0,IF(P224=1,0.1,0.3))*B234*R222)*1.5)</f>
        <v>0</v>
      </c>
      <c r="D234" s="7">
        <f>IF(A234="","",C234*(1-P226))</f>
        <v>0</v>
      </c>
      <c r="E234" s="16"/>
      <c r="F234" s="26">
        <f>IF(A234="","",IF(P224=1,IF(H222="x",VLOOKUP(A234,CarSoll!$F$11:$S$19,11,FALSE),VLOOKUP(A234,CarSoll!$F$26:$S$34,11,FALSE)),0)*R222)</f>
        <v>0</v>
      </c>
      <c r="G234" s="24">
        <f t="shared" si="33"/>
        <v>0</v>
      </c>
      <c r="H234" s="25">
        <f t="shared" si="34"/>
        <v>0</v>
      </c>
      <c r="I234" s="26">
        <f t="shared" si="35"/>
        <v>0</v>
      </c>
      <c r="L234" s="29" t="s">
        <v>152</v>
      </c>
    </row>
    <row r="235" spans="1:19">
      <c r="A235" s="1" t="str">
        <f>CarSoll!$F$17</f>
        <v>2</v>
      </c>
      <c r="B235" s="9">
        <f>IF(A235="","",IF(H222="",0,IF(H222="x",VLOOKUP(A235,CarSoll!$F$11:$S$19,IF(P224=1,9,4),FALSE),VLOOKUP(A235,CarSoll!$F$26:$S$34,IF(P224=1,9,4),FALSE))))</f>
        <v>0</v>
      </c>
      <c r="C235" s="7">
        <f>IF(A235="","",IF(B224="di coltello",IF(P224=0,0,1)*B235*R222,IF(P224=0,0,IF(P224=1,0.1,0.3))*B235*R222)*1.5)</f>
        <v>0</v>
      </c>
      <c r="D235" s="7">
        <f>IF(A235="","",C235*(1-P226))</f>
        <v>0</v>
      </c>
      <c r="E235" s="16"/>
      <c r="F235" s="26">
        <f>IF(A235="","",IF(P224=1,IF(H222="x",VLOOKUP(A235,CarSoll!$F$11:$S$19,11,FALSE),VLOOKUP(A235,CarSoll!$F$26:$S$34,11,FALSE)),0)*R222)</f>
        <v>0</v>
      </c>
      <c r="G235" s="24">
        <f t="shared" si="33"/>
        <v>0</v>
      </c>
      <c r="H235" s="25">
        <f t="shared" si="34"/>
        <v>0</v>
      </c>
      <c r="I235" s="26">
        <f t="shared" si="35"/>
        <v>0</v>
      </c>
      <c r="L235" s="163"/>
      <c r="M235" s="163"/>
      <c r="N235" s="163"/>
      <c r="O235" s="163"/>
      <c r="P235" s="163"/>
      <c r="Q235" s="163"/>
      <c r="R235" s="163"/>
    </row>
    <row r="236" spans="1:19">
      <c r="A236" s="1" t="str">
        <f>CarSoll!$F$18</f>
        <v>1 testa</v>
      </c>
      <c r="B236" s="9">
        <f>IF(A236="","",IF(H222="",0,IF(H222="x",VLOOKUP(A236,CarSoll!$F$11:$S$19,IF(P224=1,9,4),FALSE),VLOOKUP(A236,CarSoll!$F$26:$S$34,IF(P224=1,9,4),FALSE))))</f>
        <v>0</v>
      </c>
      <c r="C236" s="7">
        <f>IF(A236="","",IF(B224="di coltello",IF(P224=0,0,1)*B236*R222,IF(P224=0,0,IF(P224=1,0.1,0.3))*B236*R222)*IF(A236="1 testa",1.5,1))</f>
        <v>0</v>
      </c>
      <c r="D236" s="7">
        <f>IF(A236="","",C236*(1-P226))</f>
        <v>0</v>
      </c>
      <c r="E236" s="16"/>
      <c r="F236" s="26">
        <f>IF(A236="","",IF(P224=1,IF(A236="2 piede",F235,IF(H222="x",VLOOKUP(A236,CarSoll!$F$11:$S$19,11,FALSE),VLOOKUP(A236,CarSoll!$F$26:$S$34,11,FALSE))*R222),0))</f>
        <v>0</v>
      </c>
      <c r="G236" s="24">
        <f t="shared" si="33"/>
        <v>0</v>
      </c>
      <c r="H236" s="25">
        <f t="shared" si="34"/>
        <v>0</v>
      </c>
      <c r="I236" s="26">
        <f t="shared" si="35"/>
        <v>0</v>
      </c>
      <c r="L236" s="163"/>
      <c r="M236" s="163"/>
      <c r="N236" s="163"/>
      <c r="O236" s="163"/>
      <c r="P236" s="163"/>
      <c r="Q236" s="163"/>
      <c r="R236" s="163"/>
    </row>
    <row r="237" spans="1:19">
      <c r="A237" s="1" t="str">
        <f>CarSoll!$F$19</f>
        <v>1 piede</v>
      </c>
      <c r="B237" s="9">
        <f>IF(A237="","",IF(H222="",0,IF(H222="x",VLOOKUP(A237,CarSoll!$F$11:$S$19,IF(P224=1,9,4),FALSE),VLOOKUP(A237,CarSoll!$F$26:$S$34,IF(P224=1,9,4),FALSE))))</f>
        <v>0</v>
      </c>
      <c r="C237" s="7">
        <f>IF(A237="","",IF(B224="di coltello",IF(P224=0,0,1)*B237*R222,IF(P224=0,0,IF(P224=1,0.1,0.3))*B237*R222))</f>
        <v>0</v>
      </c>
      <c r="D237" s="7">
        <f>IF(A237="","",C237)</f>
        <v>0</v>
      </c>
      <c r="E237" s="16"/>
      <c r="F237" s="26">
        <f>IF(A237="","",F236)</f>
        <v>0</v>
      </c>
      <c r="G237" s="24">
        <f t="shared" si="33"/>
        <v>0</v>
      </c>
      <c r="H237" s="25">
        <f t="shared" si="34"/>
        <v>0</v>
      </c>
      <c r="I237" s="26">
        <f t="shared" si="35"/>
        <v>0</v>
      </c>
      <c r="L237" s="163"/>
      <c r="M237" s="163"/>
      <c r="N237" s="163"/>
      <c r="O237" s="163"/>
      <c r="P237" s="163"/>
      <c r="Q237" s="163"/>
      <c r="R237" s="163"/>
    </row>
    <row r="239" spans="1:19" ht="13.15">
      <c r="F239" s="18" t="s">
        <v>134</v>
      </c>
      <c r="G239" s="19" t="s">
        <v>133</v>
      </c>
      <c r="H239" s="19" t="s">
        <v>133</v>
      </c>
      <c r="I239" s="19" t="s">
        <v>133</v>
      </c>
    </row>
    <row r="240" spans="1:19">
      <c r="A240" s="20"/>
      <c r="B240" s="20"/>
      <c r="C240" s="20"/>
      <c r="D240" s="20"/>
      <c r="E240" s="20"/>
      <c r="F240" s="20"/>
      <c r="G240" s="21"/>
      <c r="H240" s="22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</row>
  </sheetData>
  <sheetProtection sheet="1" selectLockedCells="1"/>
  <mergeCells count="60">
    <mergeCell ref="L235:R237"/>
    <mergeCell ref="L215:R217"/>
    <mergeCell ref="L222:O222"/>
    <mergeCell ref="B224:C224"/>
    <mergeCell ref="M224:O224"/>
    <mergeCell ref="B227:D227"/>
    <mergeCell ref="L195:R197"/>
    <mergeCell ref="L202:O202"/>
    <mergeCell ref="B204:C204"/>
    <mergeCell ref="M204:O204"/>
    <mergeCell ref="B207:D207"/>
    <mergeCell ref="L175:R177"/>
    <mergeCell ref="L182:O182"/>
    <mergeCell ref="B184:C184"/>
    <mergeCell ref="M184:O184"/>
    <mergeCell ref="B187:D187"/>
    <mergeCell ref="L155:R157"/>
    <mergeCell ref="L162:O162"/>
    <mergeCell ref="B164:C164"/>
    <mergeCell ref="M164:O164"/>
    <mergeCell ref="B167:D167"/>
    <mergeCell ref="L55:R57"/>
    <mergeCell ref="L62:O62"/>
    <mergeCell ref="L75:R77"/>
    <mergeCell ref="L95:R97"/>
    <mergeCell ref="L115:R117"/>
    <mergeCell ref="L102:O102"/>
    <mergeCell ref="L2:O2"/>
    <mergeCell ref="B4:C4"/>
    <mergeCell ref="M4:O4"/>
    <mergeCell ref="B7:D7"/>
    <mergeCell ref="B64:C64"/>
    <mergeCell ref="M64:O64"/>
    <mergeCell ref="L15:R17"/>
    <mergeCell ref="L22:O22"/>
    <mergeCell ref="B24:C24"/>
    <mergeCell ref="M24:O24"/>
    <mergeCell ref="B27:D27"/>
    <mergeCell ref="L35:R37"/>
    <mergeCell ref="L42:O42"/>
    <mergeCell ref="B44:C44"/>
    <mergeCell ref="M44:O44"/>
    <mergeCell ref="B47:D47"/>
    <mergeCell ref="B67:D67"/>
    <mergeCell ref="L82:O82"/>
    <mergeCell ref="B84:C84"/>
    <mergeCell ref="M84:O84"/>
    <mergeCell ref="B87:D87"/>
    <mergeCell ref="B104:C104"/>
    <mergeCell ref="M104:O104"/>
    <mergeCell ref="B107:D107"/>
    <mergeCell ref="B144:C144"/>
    <mergeCell ref="M144:O144"/>
    <mergeCell ref="B147:D147"/>
    <mergeCell ref="L122:O122"/>
    <mergeCell ref="B124:C124"/>
    <mergeCell ref="M124:O124"/>
    <mergeCell ref="B127:D127"/>
    <mergeCell ref="L142:O142"/>
    <mergeCell ref="L135:R137"/>
  </mergeCells>
  <conditionalFormatting sqref="E9:E17">
    <cfRule type="expression" dxfId="36" priority="77">
      <formula>A9&lt;&gt;""</formula>
    </cfRule>
    <cfRule type="expression" dxfId="35" priority="78">
      <formula>A9=""</formula>
    </cfRule>
  </conditionalFormatting>
  <conditionalFormatting sqref="E29:E37">
    <cfRule type="expression" dxfId="34" priority="31">
      <formula>A29&lt;&gt;""</formula>
    </cfRule>
    <cfRule type="expression" dxfId="33" priority="32">
      <formula>A29=""</formula>
    </cfRule>
  </conditionalFormatting>
  <conditionalFormatting sqref="E49:E57">
    <cfRule type="expression" dxfId="32" priority="28">
      <formula>A49&lt;&gt;""</formula>
    </cfRule>
    <cfRule type="expression" dxfId="31" priority="29">
      <formula>A49=""</formula>
    </cfRule>
  </conditionalFormatting>
  <conditionalFormatting sqref="E69:E77">
    <cfRule type="expression" dxfId="30" priority="26">
      <formula>A69=""</formula>
    </cfRule>
    <cfRule type="expression" dxfId="29" priority="25">
      <formula>A69&lt;&gt;""</formula>
    </cfRule>
  </conditionalFormatting>
  <conditionalFormatting sqref="E89:E97">
    <cfRule type="expression" dxfId="28" priority="23">
      <formula>A89=""</formula>
    </cfRule>
    <cfRule type="expression" dxfId="27" priority="22">
      <formula>A89&lt;&gt;""</formula>
    </cfRule>
  </conditionalFormatting>
  <conditionalFormatting sqref="E109:E117">
    <cfRule type="expression" dxfId="26" priority="19">
      <formula>A109&lt;&gt;""</formula>
    </cfRule>
    <cfRule type="expression" dxfId="25" priority="20">
      <formula>A109=""</formula>
    </cfRule>
  </conditionalFormatting>
  <conditionalFormatting sqref="E129:E137">
    <cfRule type="expression" dxfId="24" priority="16">
      <formula>A129&lt;&gt;""</formula>
    </cfRule>
    <cfRule type="expression" dxfId="23" priority="17">
      <formula>A129=""</formula>
    </cfRule>
  </conditionalFormatting>
  <conditionalFormatting sqref="E149:E157">
    <cfRule type="expression" dxfId="22" priority="13">
      <formula>A149&lt;&gt;""</formula>
    </cfRule>
    <cfRule type="expression" dxfId="21" priority="14">
      <formula>A149=""</formula>
    </cfRule>
  </conditionalFormatting>
  <conditionalFormatting sqref="E169:E177">
    <cfRule type="expression" dxfId="20" priority="10">
      <formula>A169&lt;&gt;""</formula>
    </cfRule>
    <cfRule type="expression" dxfId="19" priority="11">
      <formula>A169=""</formula>
    </cfRule>
  </conditionalFormatting>
  <conditionalFormatting sqref="E189:E197">
    <cfRule type="expression" dxfId="18" priority="7">
      <formula>A189&lt;&gt;""</formula>
    </cfRule>
    <cfRule type="expression" dxfId="17" priority="8">
      <formula>A189=""</formula>
    </cfRule>
  </conditionalFormatting>
  <conditionalFormatting sqref="E209:E217">
    <cfRule type="expression" dxfId="16" priority="4">
      <formula>A209&lt;&gt;""</formula>
    </cfRule>
    <cfRule type="expression" dxfId="15" priority="5">
      <formula>A209=""</formula>
    </cfRule>
  </conditionalFormatting>
  <conditionalFormatting sqref="E229:E237">
    <cfRule type="expression" dxfId="14" priority="1">
      <formula>A229&lt;&gt;""</formula>
    </cfRule>
    <cfRule type="expression" dxfId="13" priority="2">
      <formula>A229=""</formula>
    </cfRule>
  </conditionalFormatting>
  <conditionalFormatting sqref="G9:I17 J10:J17">
    <cfRule type="expression" dxfId="12" priority="79">
      <formula>G9&lt;&gt;""</formula>
    </cfRule>
  </conditionalFormatting>
  <conditionalFormatting sqref="G29:I37 J30:J37">
    <cfRule type="expression" dxfId="11" priority="33">
      <formula>G29&lt;&gt;""</formula>
    </cfRule>
  </conditionalFormatting>
  <conditionalFormatting sqref="G49:I57 J50:J57">
    <cfRule type="expression" dxfId="10" priority="30">
      <formula>G49&lt;&gt;""</formula>
    </cfRule>
  </conditionalFormatting>
  <conditionalFormatting sqref="G69:I77 J70:J77">
    <cfRule type="expression" dxfId="9" priority="27">
      <formula>G69&lt;&gt;""</formula>
    </cfRule>
  </conditionalFormatting>
  <conditionalFormatting sqref="G89:I97 J90:J97">
    <cfRule type="expression" dxfId="8" priority="24">
      <formula>G89&lt;&gt;""</formula>
    </cfRule>
  </conditionalFormatting>
  <conditionalFormatting sqref="G109:I117 J110:J117">
    <cfRule type="expression" dxfId="7" priority="21">
      <formula>G109&lt;&gt;""</formula>
    </cfRule>
  </conditionalFormatting>
  <conditionalFormatting sqref="G129:I137 J130:J137">
    <cfRule type="expression" dxfId="6" priority="18">
      <formula>G129&lt;&gt;""</formula>
    </cfRule>
  </conditionalFormatting>
  <conditionalFormatting sqref="G149:I157 J150:J157">
    <cfRule type="expression" dxfId="5" priority="15">
      <formula>G149&lt;&gt;""</formula>
    </cfRule>
  </conditionalFormatting>
  <conditionalFormatting sqref="G169:I177 J170:J177">
    <cfRule type="expression" dxfId="4" priority="12">
      <formula>G169&lt;&gt;""</formula>
    </cfRule>
  </conditionalFormatting>
  <conditionalFormatting sqref="G189:I197 J190:J197">
    <cfRule type="expression" dxfId="3" priority="9">
      <formula>G189&lt;&gt;""</formula>
    </cfRule>
  </conditionalFormatting>
  <conditionalFormatting sqref="G209:I217 J210:J217">
    <cfRule type="expression" dxfId="2" priority="6">
      <formula>G209&lt;&gt;""</formula>
    </cfRule>
  </conditionalFormatting>
  <conditionalFormatting sqref="G229:I237 J230:J237">
    <cfRule type="expression" dxfId="1" priority="3">
      <formula>G229&lt;&gt;""</formula>
    </cfRule>
  </conditionalFormatting>
  <dataValidations count="5">
    <dataValidation type="list" allowBlank="1" showInputMessage="1" showErrorMessage="1" sqref="R2 R22 R42 R62 R82 R102 R122 R142 R162 R182 R202 R222" xr:uid="{00000000-0002-0000-0700-000000000000}">
      <formula1>"1,1.05,1.1,1.15,1.2"</formula1>
    </dataValidation>
    <dataValidation type="list" allowBlank="1" showInputMessage="1" showErrorMessage="1" sqref="L2:N2 L22:N22 L42:N42 L62:N62 L82:N82 L102:N102 L122:N122 L142:N142 L162:N162 L182:N182 L202:N202 L222:N222" xr:uid="{00000000-0002-0000-0700-000001000000}">
      <formula1>"molto vicino al baricentro,distanza intermedia dal baricentro,molto distante dal baricentro"</formula1>
    </dataValidation>
    <dataValidation type="list" allowBlank="1" showInputMessage="1" showErrorMessage="1" sqref="H2 H22 H42 H62 H82 H102 H122 H142 H162 H182 H202 H222" xr:uid="{00000000-0002-0000-0700-000002000000}">
      <formula1>"x,y"</formula1>
    </dataValidation>
    <dataValidation type="list" allowBlank="1" showInputMessage="1" showErrorMessage="1" sqref="B4:C4 B24:C24 B44:C44 B64:C64 B84:C84 B104:C104 B124:C124 B144:C144 B164:C164 B184:C184 B204:C204 B224:C224" xr:uid="{00000000-0002-0000-0700-000003000000}">
      <formula1>"di coltello,di piatto"</formula1>
    </dataValidation>
    <dataValidation type="list" allowBlank="1" showInputMessage="1" showErrorMessage="1" sqref="M4:O4 M24:O24 M44:O44 M64:O64 M84:O84 M104:O104 M124:O124 M144:O144 M164:O164 M184:O184 M204:O204 M224:O224" xr:uid="{00000000-0002-0000-0700-000004000000}">
      <formula1>"due travi emergenti,una trave emergente,solo travi a spessore"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5"/>
  <sheetViews>
    <sheetView workbookViewId="0">
      <selection activeCell="B7" sqref="B7"/>
    </sheetView>
  </sheetViews>
  <sheetFormatPr defaultColWidth="10.73046875" defaultRowHeight="17" customHeight="1"/>
  <cols>
    <col min="1" max="1" width="10.73046875" style="39"/>
    <col min="2" max="9" width="15.73046875" style="39" customWidth="1"/>
    <col min="10" max="16384" width="10.73046875" style="39"/>
  </cols>
  <sheetData>
    <row r="1" spans="1:10" ht="17" customHeight="1">
      <c r="A1" s="104" t="s">
        <v>136</v>
      </c>
    </row>
    <row r="3" spans="1:10" ht="17" customHeight="1">
      <c r="A3" s="68" t="s">
        <v>142</v>
      </c>
    </row>
    <row r="4" spans="1:10" ht="17" customHeight="1">
      <c r="A4" s="68" t="s">
        <v>137</v>
      </c>
      <c r="H4" s="43" t="s">
        <v>25</v>
      </c>
      <c r="I4" s="39">
        <f>'Geom e masse'!D3</f>
        <v>5</v>
      </c>
    </row>
    <row r="5" spans="1:10" ht="17" customHeight="1">
      <c r="A5" s="68"/>
    </row>
    <row r="6" spans="1:10" ht="17" customHeight="1">
      <c r="A6" s="94"/>
      <c r="B6" s="95" t="s">
        <v>138</v>
      </c>
      <c r="C6" s="96"/>
      <c r="D6" s="96"/>
      <c r="E6" s="96"/>
      <c r="F6" s="95" t="s">
        <v>139</v>
      </c>
      <c r="G6" s="96"/>
      <c r="H6" s="96"/>
      <c r="I6" s="97"/>
      <c r="J6" s="85"/>
    </row>
    <row r="7" spans="1:10" ht="17" customHeight="1">
      <c r="A7" s="39" t="str">
        <f>'Geom e masse'!B7</f>
        <v>impalcato</v>
      </c>
      <c r="B7" s="98"/>
      <c r="C7" s="99"/>
      <c r="D7" s="99"/>
      <c r="E7" s="99"/>
      <c r="F7" s="98"/>
      <c r="G7" s="99"/>
      <c r="H7" s="99"/>
      <c r="I7" s="100"/>
      <c r="J7" s="85"/>
    </row>
    <row r="8" spans="1:10" ht="17" customHeight="1">
      <c r="A8" s="101">
        <f>'Geom e masse'!B8</f>
        <v>8</v>
      </c>
      <c r="B8" s="102"/>
      <c r="C8" s="69"/>
      <c r="D8" s="69"/>
      <c r="E8" s="69"/>
      <c r="F8" s="102"/>
      <c r="G8" s="69"/>
      <c r="H8" s="69"/>
      <c r="I8" s="103"/>
      <c r="J8" s="85"/>
    </row>
    <row r="9" spans="1:10" ht="17" customHeight="1">
      <c r="A9" s="101">
        <f>'Geom e masse'!B9</f>
        <v>7</v>
      </c>
      <c r="B9" s="102"/>
      <c r="C9" s="69"/>
      <c r="D9" s="69"/>
      <c r="E9" s="69"/>
      <c r="F9" s="102"/>
      <c r="G9" s="69"/>
      <c r="H9" s="69"/>
      <c r="I9" s="103"/>
      <c r="J9" s="85"/>
    </row>
    <row r="10" spans="1:10" ht="17" customHeight="1">
      <c r="A10" s="101">
        <f>'Geom e masse'!B10</f>
        <v>6</v>
      </c>
      <c r="B10" s="102"/>
      <c r="C10" s="69"/>
      <c r="D10" s="69"/>
      <c r="E10" s="69"/>
      <c r="F10" s="102"/>
      <c r="G10" s="69"/>
      <c r="H10" s="69"/>
      <c r="I10" s="103"/>
      <c r="J10" s="85"/>
    </row>
    <row r="11" spans="1:10" ht="17" customHeight="1">
      <c r="A11" s="101">
        <f>'Geom e masse'!B11</f>
        <v>5</v>
      </c>
      <c r="B11" s="102"/>
      <c r="C11" s="69"/>
      <c r="D11" s="69"/>
      <c r="E11" s="103"/>
      <c r="F11" s="102"/>
      <c r="G11" s="69"/>
      <c r="H11" s="69"/>
      <c r="I11" s="103"/>
      <c r="J11" s="85"/>
    </row>
    <row r="12" spans="1:10" ht="17" customHeight="1">
      <c r="A12" s="101">
        <f>'Geom e masse'!B12</f>
        <v>4</v>
      </c>
      <c r="B12" s="102"/>
      <c r="C12" s="69"/>
      <c r="D12" s="69"/>
      <c r="E12" s="103"/>
      <c r="F12" s="102"/>
      <c r="G12" s="69"/>
      <c r="H12" s="69"/>
      <c r="I12" s="103"/>
      <c r="J12" s="85"/>
    </row>
    <row r="13" spans="1:10" ht="17" customHeight="1">
      <c r="A13" s="101">
        <f>'Geom e masse'!B13</f>
        <v>3</v>
      </c>
      <c r="B13" s="102"/>
      <c r="C13" s="69"/>
      <c r="D13" s="69"/>
      <c r="E13" s="103"/>
      <c r="F13" s="102"/>
      <c r="G13" s="69"/>
      <c r="H13" s="69"/>
      <c r="I13" s="103"/>
      <c r="J13" s="85"/>
    </row>
    <row r="14" spans="1:10" ht="17" customHeight="1">
      <c r="A14" s="101">
        <f>'Geom e masse'!B14</f>
        <v>2</v>
      </c>
      <c r="B14" s="102"/>
      <c r="C14" s="69"/>
      <c r="D14" s="69"/>
      <c r="E14" s="103"/>
      <c r="F14" s="102"/>
      <c r="G14" s="69"/>
      <c r="H14" s="69"/>
      <c r="I14" s="103"/>
      <c r="J14" s="85"/>
    </row>
    <row r="15" spans="1:10" ht="17" customHeight="1">
      <c r="A15" s="101">
        <f>'Geom e masse'!B15</f>
        <v>1</v>
      </c>
      <c r="B15" s="102"/>
      <c r="C15" s="69"/>
      <c r="D15" s="69"/>
      <c r="E15" s="103"/>
      <c r="F15" s="102"/>
      <c r="G15" s="69"/>
      <c r="H15" s="69"/>
      <c r="I15" s="103"/>
      <c r="J15" s="85"/>
    </row>
  </sheetData>
  <sheetProtection sheet="1" selectLockedCells="1"/>
  <conditionalFormatting sqref="A8:A15">
    <cfRule type="cellIs" dxfId="0" priority="31" operator="greaterThan">
      <formula>$I$4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Spiegazioni</vt:lpstr>
      <vt:lpstr>Spettri x</vt:lpstr>
      <vt:lpstr>Spettri y</vt:lpstr>
      <vt:lpstr>Geom e masse</vt:lpstr>
      <vt:lpstr>Forze</vt:lpstr>
      <vt:lpstr>CarSoll</vt:lpstr>
      <vt:lpstr>Travi</vt:lpstr>
      <vt:lpstr>Pilastri</vt:lpstr>
      <vt:lpstr>Riepilogo sezioni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2024-11-27T09:54:40Z</dcterms:modified>
</cp:coreProperties>
</file>