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studentiunict-my.sharepoint.com/personal/edoardo_marino_unict_it/Documents/Didattica/2023-2024 Sismica EdArch/Fogli EXCEL/"/>
    </mc:Choice>
  </mc:AlternateContent>
  <xr:revisionPtr revIDLastSave="1" documentId="11_1DF273DC70EC8E1D42C13F919E63E65D872A67E5" xr6:coauthVersionLast="47" xr6:coauthVersionMax="47" xr10:uidLastSave="{CEFA445A-F433-42C7-9B9F-B3BF386C1AF5}"/>
  <bookViews>
    <workbookView xWindow="-120" yWindow="-120" windowWidth="38640" windowHeight="21120" xr2:uid="{00000000-000D-0000-FFFF-FFFF00000000}"/>
  </bookViews>
  <sheets>
    <sheet name="Domini M-N" sheetId="1" r:id="rId1"/>
  </sheets>
  <definedNames>
    <definedName name="As">'Domini M-N'!$B$7</definedName>
    <definedName name="AsP">'Domini M-N'!$B$6</definedName>
    <definedName name="bSez">'Domini M-N'!$B$1</definedName>
    <definedName name="cf">'Domini M-N'!$B$3</definedName>
    <definedName name="dSez">'Domini M-N'!$B$4</definedName>
    <definedName name="EpsC2">'Domini M-N'!$F$4</definedName>
    <definedName name="EpsCU">'Domini M-N'!$F$3</definedName>
    <definedName name="EpsYd">'Domini M-N'!$I$4</definedName>
    <definedName name="fcd">'Domini M-N'!$F$2</definedName>
    <definedName name="fyd">'Domini M-N'!$I$2</definedName>
    <definedName name="hSez">'Domini M-N'!$B$2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F2" i="1" l="1"/>
  <c r="B7" i="1"/>
  <c r="A57" i="1" l="1"/>
  <c r="A56" i="1"/>
  <c r="A55" i="1"/>
  <c r="A54" i="1"/>
  <c r="A53" i="1"/>
  <c r="A52" i="1"/>
  <c r="A51" i="1"/>
  <c r="A50" i="1"/>
  <c r="A49" i="1"/>
  <c r="A48" i="1"/>
  <c r="A47" i="1"/>
  <c r="A46" i="1"/>
  <c r="A23" i="1"/>
  <c r="A22" i="1"/>
  <c r="A21" i="1"/>
  <c r="A20" i="1"/>
  <c r="A19" i="1"/>
  <c r="A18" i="1"/>
  <c r="A17" i="1"/>
  <c r="A16" i="1"/>
  <c r="A15" i="1"/>
  <c r="A14" i="1"/>
  <c r="A13" i="1"/>
  <c r="A12" i="1"/>
  <c r="J58" i="1" l="1"/>
  <c r="B58" i="1"/>
  <c r="C58" i="1" s="1"/>
  <c r="K58" i="1" s="1"/>
  <c r="J57" i="1"/>
  <c r="B57" i="1"/>
  <c r="C57" i="1" s="1"/>
  <c r="K57" i="1" s="1"/>
  <c r="J56" i="1"/>
  <c r="B56" i="1"/>
  <c r="C56" i="1" s="1"/>
  <c r="K56" i="1" s="1"/>
  <c r="J55" i="1"/>
  <c r="B55" i="1"/>
  <c r="C55" i="1" s="1"/>
  <c r="K55" i="1" s="1"/>
  <c r="J54" i="1"/>
  <c r="B54" i="1"/>
  <c r="C54" i="1" s="1"/>
  <c r="K54" i="1" s="1"/>
  <c r="J53" i="1"/>
  <c r="B53" i="1"/>
  <c r="C53" i="1" s="1"/>
  <c r="K53" i="1" s="1"/>
  <c r="J52" i="1"/>
  <c r="B52" i="1"/>
  <c r="C52" i="1" s="1"/>
  <c r="K52" i="1" s="1"/>
  <c r="J51" i="1"/>
  <c r="B51" i="1"/>
  <c r="C51" i="1" s="1"/>
  <c r="K51" i="1" s="1"/>
  <c r="J50" i="1"/>
  <c r="B50" i="1"/>
  <c r="C50" i="1" s="1"/>
  <c r="K50" i="1" s="1"/>
  <c r="J49" i="1"/>
  <c r="B49" i="1"/>
  <c r="C49" i="1" s="1"/>
  <c r="K49" i="1" s="1"/>
  <c r="J48" i="1"/>
  <c r="B48" i="1"/>
  <c r="C48" i="1" s="1"/>
  <c r="K48" i="1" s="1"/>
  <c r="J47" i="1"/>
  <c r="B47" i="1"/>
  <c r="C47" i="1" s="1"/>
  <c r="K47" i="1" s="1"/>
  <c r="J46" i="1"/>
  <c r="B46" i="1"/>
  <c r="C46" i="1" s="1"/>
  <c r="K46" i="1" s="1"/>
  <c r="J45" i="1"/>
  <c r="B45" i="1"/>
  <c r="C45" i="1" s="1"/>
  <c r="K45" i="1" s="1"/>
  <c r="J44" i="1"/>
  <c r="B44" i="1"/>
  <c r="C44" i="1" s="1"/>
  <c r="K44" i="1" s="1"/>
  <c r="J43" i="1"/>
  <c r="B43" i="1"/>
  <c r="C43" i="1" s="1"/>
  <c r="K43" i="1" s="1"/>
  <c r="J42" i="1"/>
  <c r="B42" i="1"/>
  <c r="C42" i="1" s="1"/>
  <c r="K42" i="1" s="1"/>
  <c r="J41" i="1"/>
  <c r="B41" i="1"/>
  <c r="C41" i="1" s="1"/>
  <c r="K41" i="1" s="1"/>
  <c r="J40" i="1"/>
  <c r="B40" i="1"/>
  <c r="C40" i="1" s="1"/>
  <c r="K40" i="1" s="1"/>
  <c r="J39" i="1"/>
  <c r="B39" i="1"/>
  <c r="C39" i="1" s="1"/>
  <c r="K39" i="1" s="1"/>
  <c r="J38" i="1"/>
  <c r="B38" i="1"/>
  <c r="C38" i="1" s="1"/>
  <c r="K38" i="1" s="1"/>
  <c r="J37" i="1"/>
  <c r="B37" i="1"/>
  <c r="C37" i="1" s="1"/>
  <c r="K37" i="1" s="1"/>
  <c r="J36" i="1"/>
  <c r="B36" i="1"/>
  <c r="C36" i="1" s="1"/>
  <c r="K36" i="1" s="1"/>
  <c r="J35" i="1"/>
  <c r="B35" i="1"/>
  <c r="C35" i="1" s="1"/>
  <c r="K35" i="1" s="1"/>
  <c r="J34" i="1"/>
  <c r="B34" i="1"/>
  <c r="C34" i="1" s="1"/>
  <c r="K34" i="1" s="1"/>
  <c r="J33" i="1"/>
  <c r="B33" i="1"/>
  <c r="C33" i="1" s="1"/>
  <c r="K33" i="1" s="1"/>
  <c r="J32" i="1"/>
  <c r="B32" i="1"/>
  <c r="C32" i="1" s="1"/>
  <c r="K32" i="1" s="1"/>
  <c r="J31" i="1"/>
  <c r="B31" i="1"/>
  <c r="C31" i="1" s="1"/>
  <c r="K31" i="1" s="1"/>
  <c r="J30" i="1"/>
  <c r="B30" i="1"/>
  <c r="C30" i="1" s="1"/>
  <c r="K30" i="1" s="1"/>
  <c r="J29" i="1"/>
  <c r="B29" i="1"/>
  <c r="C29" i="1" s="1"/>
  <c r="K29" i="1" s="1"/>
  <c r="J28" i="1"/>
  <c r="B28" i="1"/>
  <c r="C28" i="1" s="1"/>
  <c r="K28" i="1" s="1"/>
  <c r="J27" i="1"/>
  <c r="B27" i="1"/>
  <c r="C27" i="1" s="1"/>
  <c r="K27" i="1" s="1"/>
  <c r="J26" i="1"/>
  <c r="B26" i="1"/>
  <c r="C26" i="1" s="1"/>
  <c r="K26" i="1" s="1"/>
  <c r="J25" i="1"/>
  <c r="B25" i="1"/>
  <c r="C25" i="1" s="1"/>
  <c r="K25" i="1" s="1"/>
  <c r="J24" i="1"/>
  <c r="B24" i="1"/>
  <c r="C24" i="1" s="1"/>
  <c r="K24" i="1" s="1"/>
  <c r="J23" i="1"/>
  <c r="B23" i="1"/>
  <c r="C23" i="1" s="1"/>
  <c r="K23" i="1" s="1"/>
  <c r="J22" i="1"/>
  <c r="B22" i="1"/>
  <c r="C22" i="1" s="1"/>
  <c r="K22" i="1" s="1"/>
  <c r="J21" i="1"/>
  <c r="B21" i="1"/>
  <c r="C21" i="1" s="1"/>
  <c r="K21" i="1" s="1"/>
  <c r="J20" i="1"/>
  <c r="B20" i="1"/>
  <c r="C20" i="1" s="1"/>
  <c r="K20" i="1" s="1"/>
  <c r="J19" i="1"/>
  <c r="B19" i="1"/>
  <c r="C19" i="1" s="1"/>
  <c r="K19" i="1" s="1"/>
  <c r="J18" i="1"/>
  <c r="B18" i="1"/>
  <c r="C18" i="1" s="1"/>
  <c r="K18" i="1" s="1"/>
  <c r="J17" i="1"/>
  <c r="B17" i="1"/>
  <c r="C17" i="1" s="1"/>
  <c r="K17" i="1" s="1"/>
  <c r="J16" i="1"/>
  <c r="B16" i="1"/>
  <c r="C16" i="1" s="1"/>
  <c r="K16" i="1" s="1"/>
  <c r="J15" i="1"/>
  <c r="B15" i="1"/>
  <c r="C15" i="1" s="1"/>
  <c r="K15" i="1" s="1"/>
  <c r="J14" i="1"/>
  <c r="B14" i="1"/>
  <c r="C14" i="1" s="1"/>
  <c r="K14" i="1" s="1"/>
  <c r="J13" i="1"/>
  <c r="B13" i="1"/>
  <c r="C13" i="1" s="1"/>
  <c r="K13" i="1" s="1"/>
  <c r="J12" i="1"/>
  <c r="B12" i="1"/>
  <c r="C12" i="1" s="1"/>
  <c r="K12" i="1" s="1"/>
  <c r="J11" i="1"/>
  <c r="B11" i="1"/>
  <c r="C11" i="1" s="1"/>
  <c r="K11" i="1" s="1"/>
  <c r="B4" i="1"/>
  <c r="I4" i="1"/>
  <c r="F4" i="1"/>
  <c r="G33" i="1" s="1"/>
  <c r="F3" i="1"/>
  <c r="G57" i="1" s="1"/>
  <c r="D17" i="1" l="1"/>
  <c r="D35" i="1"/>
  <c r="D12" i="1"/>
  <c r="D36" i="1"/>
  <c r="D23" i="1"/>
  <c r="D41" i="1"/>
  <c r="G24" i="1"/>
  <c r="H24" i="1" s="1"/>
  <c r="I24" i="1" s="1"/>
  <c r="M24" i="1" s="1"/>
  <c r="G54" i="1"/>
  <c r="D13" i="1"/>
  <c r="E13" i="1" s="1"/>
  <c r="F13" i="1" s="1"/>
  <c r="L13" i="1" s="1"/>
  <c r="G25" i="1"/>
  <c r="D37" i="1"/>
  <c r="D43" i="1"/>
  <c r="D20" i="1"/>
  <c r="E20" i="1" s="1"/>
  <c r="F20" i="1" s="1"/>
  <c r="L20" i="1" s="1"/>
  <c r="G32" i="1"/>
  <c r="H32" i="1" s="1"/>
  <c r="I32" i="1" s="1"/>
  <c r="M32" i="1" s="1"/>
  <c r="D38" i="1"/>
  <c r="D44" i="1"/>
  <c r="E44" i="1" s="1"/>
  <c r="F44" i="1" s="1"/>
  <c r="L44" i="1" s="1"/>
  <c r="D45" i="1"/>
  <c r="G47" i="1"/>
  <c r="G48" i="1"/>
  <c r="H48" i="1" s="1"/>
  <c r="I48" i="1" s="1"/>
  <c r="M48" i="1" s="1"/>
  <c r="G31" i="1"/>
  <c r="H31" i="1" s="1"/>
  <c r="I31" i="1" s="1"/>
  <c r="M31" i="1" s="1"/>
  <c r="G49" i="1"/>
  <c r="H49" i="1" s="1"/>
  <c r="I49" i="1" s="1"/>
  <c r="M49" i="1" s="1"/>
  <c r="D14" i="1"/>
  <c r="E14" i="1" s="1"/>
  <c r="F14" i="1" s="1"/>
  <c r="L14" i="1" s="1"/>
  <c r="G56" i="1"/>
  <c r="H56" i="1" s="1"/>
  <c r="I56" i="1" s="1"/>
  <c r="M56" i="1" s="1"/>
  <c r="D15" i="1"/>
  <c r="E15" i="1" s="1"/>
  <c r="F15" i="1" s="1"/>
  <c r="L15" i="1" s="1"/>
  <c r="D21" i="1"/>
  <c r="G27" i="1"/>
  <c r="D39" i="1"/>
  <c r="G51" i="1"/>
  <c r="D16" i="1"/>
  <c r="E16" i="1" s="1"/>
  <c r="F16" i="1" s="1"/>
  <c r="L16" i="1" s="1"/>
  <c r="D22" i="1"/>
  <c r="E22" i="1" s="1"/>
  <c r="F22" i="1" s="1"/>
  <c r="L22" i="1" s="1"/>
  <c r="G28" i="1"/>
  <c r="G34" i="1"/>
  <c r="D40" i="1"/>
  <c r="G46" i="1"/>
  <c r="G52" i="1"/>
  <c r="G58" i="1"/>
  <c r="H58" i="1" s="1"/>
  <c r="I58" i="1" s="1"/>
  <c r="M58" i="1" s="1"/>
  <c r="D11" i="1"/>
  <c r="E11" i="1" s="1"/>
  <c r="F11" i="1" s="1"/>
  <c r="L11" i="1" s="1"/>
  <c r="G29" i="1"/>
  <c r="G53" i="1"/>
  <c r="D18" i="1"/>
  <c r="E18" i="1" s="1"/>
  <c r="F18" i="1" s="1"/>
  <c r="L18" i="1" s="1"/>
  <c r="G30" i="1"/>
  <c r="H30" i="1" s="1"/>
  <c r="I30" i="1" s="1"/>
  <c r="M30" i="1" s="1"/>
  <c r="D42" i="1"/>
  <c r="E42" i="1" s="1"/>
  <c r="F42" i="1" s="1"/>
  <c r="L42" i="1" s="1"/>
  <c r="D19" i="1"/>
  <c r="E19" i="1" s="1"/>
  <c r="F19" i="1" s="1"/>
  <c r="L19" i="1" s="1"/>
  <c r="G55" i="1"/>
  <c r="G26" i="1"/>
  <c r="H26" i="1" s="1"/>
  <c r="I26" i="1" s="1"/>
  <c r="M26" i="1" s="1"/>
  <c r="G50" i="1"/>
  <c r="H50" i="1" s="1"/>
  <c r="I50" i="1" s="1"/>
  <c r="M50" i="1" s="1"/>
  <c r="D54" i="1"/>
  <c r="E12" i="1"/>
  <c r="F12" i="1" s="1"/>
  <c r="L12" i="1" s="1"/>
  <c r="H28" i="1"/>
  <c r="I28" i="1" s="1"/>
  <c r="M28" i="1" s="1"/>
  <c r="H34" i="1"/>
  <c r="I34" i="1" s="1"/>
  <c r="M34" i="1" s="1"/>
  <c r="E36" i="1"/>
  <c r="F36" i="1" s="1"/>
  <c r="L36" i="1" s="1"/>
  <c r="E38" i="1"/>
  <c r="F38" i="1" s="1"/>
  <c r="L38" i="1" s="1"/>
  <c r="E40" i="1"/>
  <c r="F40" i="1" s="1"/>
  <c r="L40" i="1" s="1"/>
  <c r="H46" i="1"/>
  <c r="I46" i="1" s="1"/>
  <c r="M46" i="1" s="1"/>
  <c r="H52" i="1"/>
  <c r="I52" i="1" s="1"/>
  <c r="M52" i="1" s="1"/>
  <c r="H53" i="1"/>
  <c r="I53" i="1" s="1"/>
  <c r="M53" i="1" s="1"/>
  <c r="H54" i="1"/>
  <c r="I54" i="1" s="1"/>
  <c r="M54" i="1" s="1"/>
  <c r="H55" i="1"/>
  <c r="I55" i="1" s="1"/>
  <c r="M55" i="1" s="1"/>
  <c r="H57" i="1"/>
  <c r="I57" i="1" s="1"/>
  <c r="M57" i="1" s="1"/>
  <c r="E17" i="1"/>
  <c r="F17" i="1" s="1"/>
  <c r="L17" i="1" s="1"/>
  <c r="E21" i="1"/>
  <c r="F21" i="1" s="1"/>
  <c r="L21" i="1" s="1"/>
  <c r="E23" i="1"/>
  <c r="F23" i="1" s="1"/>
  <c r="L23" i="1" s="1"/>
  <c r="H25" i="1"/>
  <c r="I25" i="1" s="1"/>
  <c r="M25" i="1" s="1"/>
  <c r="H27" i="1"/>
  <c r="I27" i="1" s="1"/>
  <c r="M27" i="1" s="1"/>
  <c r="H29" i="1"/>
  <c r="I29" i="1" s="1"/>
  <c r="M29" i="1" s="1"/>
  <c r="H33" i="1"/>
  <c r="I33" i="1" s="1"/>
  <c r="M33" i="1" s="1"/>
  <c r="E35" i="1"/>
  <c r="F35" i="1" s="1"/>
  <c r="L35" i="1" s="1"/>
  <c r="E37" i="1"/>
  <c r="F37" i="1" s="1"/>
  <c r="L37" i="1" s="1"/>
  <c r="E39" i="1"/>
  <c r="F39" i="1" s="1"/>
  <c r="L39" i="1" s="1"/>
  <c r="E41" i="1"/>
  <c r="F41" i="1" s="1"/>
  <c r="L41" i="1" s="1"/>
  <c r="E43" i="1"/>
  <c r="F43" i="1" s="1"/>
  <c r="L43" i="1" s="1"/>
  <c r="E45" i="1"/>
  <c r="F45" i="1" s="1"/>
  <c r="L45" i="1" s="1"/>
  <c r="H47" i="1"/>
  <c r="I47" i="1" s="1"/>
  <c r="M47" i="1" s="1"/>
  <c r="H51" i="1"/>
  <c r="I51" i="1" s="1"/>
  <c r="M51" i="1" s="1"/>
  <c r="E54" i="1"/>
  <c r="F54" i="1" s="1"/>
  <c r="L54" i="1" s="1"/>
  <c r="D25" i="1"/>
  <c r="E25" i="1" s="1"/>
  <c r="F25" i="1" s="1"/>
  <c r="L25" i="1" s="1"/>
  <c r="D31" i="1"/>
  <c r="E31" i="1" s="1"/>
  <c r="F31" i="1" s="1"/>
  <c r="L31" i="1" s="1"/>
  <c r="G18" i="1"/>
  <c r="H18" i="1" s="1"/>
  <c r="I18" i="1" s="1"/>
  <c r="M18" i="1" s="1"/>
  <c r="G39" i="1"/>
  <c r="H39" i="1" s="1"/>
  <c r="I39" i="1" s="1"/>
  <c r="M39" i="1" s="1"/>
  <c r="D29" i="1"/>
  <c r="E29" i="1" s="1"/>
  <c r="F29" i="1" s="1"/>
  <c r="L29" i="1" s="1"/>
  <c r="D27" i="1"/>
  <c r="E27" i="1" s="1"/>
  <c r="F27" i="1" s="1"/>
  <c r="L27" i="1" s="1"/>
  <c r="G13" i="1"/>
  <c r="H13" i="1" s="1"/>
  <c r="I13" i="1" s="1"/>
  <c r="M13" i="1" s="1"/>
  <c r="G11" i="1"/>
  <c r="H11" i="1" s="1"/>
  <c r="I11" i="1" s="1"/>
  <c r="G16" i="1"/>
  <c r="H16" i="1" s="1"/>
  <c r="I16" i="1" s="1"/>
  <c r="M16" i="1" s="1"/>
  <c r="G19" i="1"/>
  <c r="H19" i="1" s="1"/>
  <c r="I19" i="1" s="1"/>
  <c r="M19" i="1" s="1"/>
  <c r="G21" i="1"/>
  <c r="H21" i="1" s="1"/>
  <c r="I21" i="1" s="1"/>
  <c r="M21" i="1" s="1"/>
  <c r="G36" i="1"/>
  <c r="H36" i="1" s="1"/>
  <c r="I36" i="1" s="1"/>
  <c r="M36" i="1" s="1"/>
  <c r="O36" i="1" s="1"/>
  <c r="G44" i="1"/>
  <c r="H44" i="1" s="1"/>
  <c r="I44" i="1" s="1"/>
  <c r="M44" i="1" s="1"/>
  <c r="D34" i="1"/>
  <c r="E34" i="1" s="1"/>
  <c r="F34" i="1" s="1"/>
  <c r="G40" i="1"/>
  <c r="H40" i="1" s="1"/>
  <c r="I40" i="1" s="1"/>
  <c r="M40" i="1" s="1"/>
  <c r="G42" i="1"/>
  <c r="H42" i="1" s="1"/>
  <c r="I42" i="1" s="1"/>
  <c r="M42" i="1" s="1"/>
  <c r="D48" i="1"/>
  <c r="E48" i="1" s="1"/>
  <c r="F48" i="1" s="1"/>
  <c r="L48" i="1" s="1"/>
  <c r="D50" i="1"/>
  <c r="E50" i="1" s="1"/>
  <c r="F50" i="1" s="1"/>
  <c r="L50" i="1" s="1"/>
  <c r="D53" i="1"/>
  <c r="E53" i="1" s="1"/>
  <c r="F53" i="1" s="1"/>
  <c r="L53" i="1" s="1"/>
  <c r="D56" i="1"/>
  <c r="E56" i="1" s="1"/>
  <c r="F56" i="1" s="1"/>
  <c r="L56" i="1" s="1"/>
  <c r="D58" i="1"/>
  <c r="E58" i="1" s="1"/>
  <c r="F58" i="1" s="1"/>
  <c r="L58" i="1" s="1"/>
  <c r="D47" i="1"/>
  <c r="E47" i="1" s="1"/>
  <c r="F47" i="1" s="1"/>
  <c r="L47" i="1" s="1"/>
  <c r="O47" i="1" s="1"/>
  <c r="D52" i="1"/>
  <c r="E52" i="1" s="1"/>
  <c r="F52" i="1" s="1"/>
  <c r="L52" i="1" s="1"/>
  <c r="D55" i="1"/>
  <c r="E55" i="1" s="1"/>
  <c r="F55" i="1" s="1"/>
  <c r="L55" i="1" s="1"/>
  <c r="G15" i="1"/>
  <c r="H15" i="1" s="1"/>
  <c r="I15" i="1" s="1"/>
  <c r="G23" i="1"/>
  <c r="H23" i="1" s="1"/>
  <c r="I23" i="1" s="1"/>
  <c r="D24" i="1"/>
  <c r="E24" i="1" s="1"/>
  <c r="F24" i="1" s="1"/>
  <c r="L24" i="1" s="1"/>
  <c r="D26" i="1"/>
  <c r="E26" i="1" s="1"/>
  <c r="F26" i="1" s="1"/>
  <c r="L26" i="1" s="1"/>
  <c r="G38" i="1"/>
  <c r="H38" i="1" s="1"/>
  <c r="I38" i="1" s="1"/>
  <c r="M38" i="1" s="1"/>
  <c r="D46" i="1"/>
  <c r="E46" i="1" s="1"/>
  <c r="F46" i="1" s="1"/>
  <c r="L46" i="1" s="1"/>
  <c r="D49" i="1"/>
  <c r="E49" i="1" s="1"/>
  <c r="F49" i="1" s="1"/>
  <c r="L49" i="1" s="1"/>
  <c r="D51" i="1"/>
  <c r="E51" i="1" s="1"/>
  <c r="F51" i="1" s="1"/>
  <c r="L51" i="1" s="1"/>
  <c r="D57" i="1"/>
  <c r="E57" i="1" s="1"/>
  <c r="F57" i="1" s="1"/>
  <c r="L57" i="1" s="1"/>
  <c r="G12" i="1"/>
  <c r="H12" i="1" s="1"/>
  <c r="I12" i="1" s="1"/>
  <c r="M12" i="1" s="1"/>
  <c r="G20" i="1"/>
  <c r="H20" i="1" s="1"/>
  <c r="I20" i="1" s="1"/>
  <c r="M20" i="1" s="1"/>
  <c r="D33" i="1"/>
  <c r="E33" i="1" s="1"/>
  <c r="F33" i="1" s="1"/>
  <c r="L33" i="1" s="1"/>
  <c r="G35" i="1"/>
  <c r="H35" i="1" s="1"/>
  <c r="I35" i="1" s="1"/>
  <c r="M35" i="1" s="1"/>
  <c r="G41" i="1"/>
  <c r="H41" i="1" s="1"/>
  <c r="I41" i="1" s="1"/>
  <c r="M41" i="1" s="1"/>
  <c r="G14" i="1"/>
  <c r="H14" i="1" s="1"/>
  <c r="I14" i="1" s="1"/>
  <c r="M14" i="1" s="1"/>
  <c r="G17" i="1"/>
  <c r="H17" i="1" s="1"/>
  <c r="I17" i="1" s="1"/>
  <c r="M17" i="1" s="1"/>
  <c r="G22" i="1"/>
  <c r="H22" i="1" s="1"/>
  <c r="I22" i="1" s="1"/>
  <c r="M22" i="1" s="1"/>
  <c r="D28" i="1"/>
  <c r="E28" i="1" s="1"/>
  <c r="F28" i="1" s="1"/>
  <c r="L28" i="1" s="1"/>
  <c r="D30" i="1"/>
  <c r="E30" i="1" s="1"/>
  <c r="F30" i="1" s="1"/>
  <c r="L30" i="1" s="1"/>
  <c r="D32" i="1"/>
  <c r="E32" i="1" s="1"/>
  <c r="F32" i="1" s="1"/>
  <c r="L32" i="1" s="1"/>
  <c r="G37" i="1"/>
  <c r="H37" i="1" s="1"/>
  <c r="I37" i="1" s="1"/>
  <c r="M37" i="1" s="1"/>
  <c r="O37" i="1" s="1"/>
  <c r="G43" i="1"/>
  <c r="H43" i="1" s="1"/>
  <c r="I43" i="1" s="1"/>
  <c r="M43" i="1" s="1"/>
  <c r="G45" i="1"/>
  <c r="H45" i="1" s="1"/>
  <c r="I45" i="1" s="1"/>
  <c r="M45" i="1" s="1"/>
  <c r="O55" i="1" l="1"/>
  <c r="O22" i="1"/>
  <c r="N11" i="1"/>
  <c r="O38" i="1"/>
  <c r="O29" i="1"/>
  <c r="O31" i="1"/>
  <c r="O35" i="1"/>
  <c r="O48" i="1"/>
  <c r="O57" i="1"/>
  <c r="N29" i="1"/>
  <c r="O44" i="1"/>
  <c r="O18" i="1"/>
  <c r="O41" i="1"/>
  <c r="N44" i="1"/>
  <c r="O45" i="1"/>
  <c r="O30" i="1"/>
  <c r="O14" i="1"/>
  <c r="O20" i="1"/>
  <c r="O52" i="1"/>
  <c r="O21" i="1"/>
  <c r="O13" i="1"/>
  <c r="O54" i="1"/>
  <c r="N38" i="1"/>
  <c r="O56" i="1"/>
  <c r="O43" i="1"/>
  <c r="O28" i="1"/>
  <c r="O12" i="1"/>
  <c r="O46" i="1"/>
  <c r="O50" i="1"/>
  <c r="O19" i="1"/>
  <c r="O27" i="1"/>
  <c r="O16" i="1"/>
  <c r="N19" i="1"/>
  <c r="N22" i="1"/>
  <c r="N54" i="1"/>
  <c r="N25" i="1"/>
  <c r="O58" i="1"/>
  <c r="O32" i="1"/>
  <c r="O17" i="1"/>
  <c r="O33" i="1"/>
  <c r="O51" i="1"/>
  <c r="O26" i="1"/>
  <c r="O42" i="1"/>
  <c r="O25" i="1"/>
  <c r="N16" i="1"/>
  <c r="O49" i="1"/>
  <c r="O24" i="1"/>
  <c r="O53" i="1"/>
  <c r="O40" i="1"/>
  <c r="O39" i="1"/>
  <c r="N35" i="1"/>
  <c r="N21" i="1"/>
  <c r="N58" i="1"/>
  <c r="N31" i="1"/>
  <c r="N57" i="1"/>
  <c r="N48" i="1"/>
  <c r="N27" i="1"/>
  <c r="N37" i="1"/>
  <c r="N28" i="1"/>
  <c r="N18" i="1"/>
  <c r="M11" i="1"/>
  <c r="O11" i="1" s="1"/>
  <c r="N43" i="1"/>
  <c r="N41" i="1"/>
  <c r="N39" i="1"/>
  <c r="N36" i="1"/>
  <c r="N40" i="1"/>
  <c r="N13" i="1"/>
  <c r="N24" i="1"/>
  <c r="N45" i="1"/>
  <c r="N30" i="1"/>
  <c r="N50" i="1"/>
  <c r="N53" i="1"/>
  <c r="N46" i="1"/>
  <c r="N17" i="1"/>
  <c r="N14" i="1"/>
  <c r="N51" i="1"/>
  <c r="N56" i="1"/>
  <c r="N49" i="1"/>
  <c r="N33" i="1"/>
  <c r="N26" i="1"/>
  <c r="N42" i="1"/>
  <c r="N23" i="1"/>
  <c r="M23" i="1"/>
  <c r="O23" i="1" s="1"/>
  <c r="N34" i="1"/>
  <c r="L34" i="1"/>
  <c r="O34" i="1" s="1"/>
  <c r="N55" i="1"/>
  <c r="N47" i="1"/>
  <c r="N52" i="1"/>
  <c r="N12" i="1"/>
  <c r="N32" i="1"/>
  <c r="N20" i="1"/>
  <c r="N15" i="1"/>
  <c r="M15" i="1"/>
  <c r="O15" i="1" s="1"/>
</calcChain>
</file>

<file path=xl/sharedStrings.xml><?xml version="1.0" encoding="utf-8"?>
<sst xmlns="http://schemas.openxmlformats.org/spreadsheetml/2006/main" count="48" uniqueCount="37">
  <si>
    <t>b:</t>
  </si>
  <si>
    <t>h:</t>
  </si>
  <si>
    <t>c:</t>
  </si>
  <si>
    <t>d:</t>
  </si>
  <si>
    <t>cm</t>
  </si>
  <si>
    <t>Mpa</t>
  </si>
  <si>
    <t>cm2</t>
  </si>
  <si>
    <t>E</t>
  </si>
  <si>
    <t>MPa</t>
  </si>
  <si>
    <t>A</t>
  </si>
  <si>
    <t>D</t>
  </si>
  <si>
    <t>b</t>
  </si>
  <si>
    <t>k</t>
  </si>
  <si>
    <r>
      <t>X/</t>
    </r>
    <r>
      <rPr>
        <b/>
        <sz val="12"/>
        <color theme="1"/>
        <rFont val="Symbol"/>
        <family val="1"/>
        <charset val="2"/>
      </rPr>
      <t>h</t>
    </r>
    <r>
      <rPr>
        <b/>
        <vertAlign val="subscript"/>
        <sz val="12"/>
        <color theme="1"/>
        <rFont val="Calibri"/>
        <family val="2"/>
        <scheme val="minor"/>
      </rPr>
      <t>min</t>
    </r>
  </si>
  <si>
    <r>
      <t>N</t>
    </r>
    <r>
      <rPr>
        <b/>
        <vertAlign val="subscript"/>
        <sz val="12"/>
        <color theme="1"/>
        <rFont val="Calibri"/>
        <family val="2"/>
        <scheme val="minor"/>
      </rPr>
      <t>c</t>
    </r>
  </si>
  <si>
    <r>
      <rPr>
        <b/>
        <sz val="12"/>
        <color theme="1"/>
        <rFont val="Symbol"/>
        <family val="1"/>
        <charset val="2"/>
      </rPr>
      <t>e</t>
    </r>
    <r>
      <rPr>
        <b/>
        <vertAlign val="subscript"/>
        <sz val="12"/>
        <color theme="1"/>
        <rFont val="Calibri"/>
        <family val="2"/>
        <scheme val="minor"/>
      </rPr>
      <t>s</t>
    </r>
    <r>
      <rPr>
        <b/>
        <sz val="12"/>
        <color theme="1"/>
        <rFont val="Calibri"/>
        <family val="2"/>
        <scheme val="minor"/>
      </rPr>
      <t>'</t>
    </r>
  </si>
  <si>
    <r>
      <rPr>
        <b/>
        <sz val="12"/>
        <color theme="1"/>
        <rFont val="Symbol"/>
        <family val="1"/>
        <charset val="2"/>
      </rPr>
      <t>s</t>
    </r>
    <r>
      <rPr>
        <b/>
        <vertAlign val="subscript"/>
        <sz val="12"/>
        <color theme="1"/>
        <rFont val="Calibri"/>
        <family val="2"/>
        <scheme val="minor"/>
      </rPr>
      <t>s</t>
    </r>
    <r>
      <rPr>
        <b/>
        <sz val="12"/>
        <color theme="1"/>
        <rFont val="Calibri"/>
        <family val="2"/>
        <scheme val="minor"/>
      </rPr>
      <t>'</t>
    </r>
  </si>
  <si>
    <r>
      <t>N</t>
    </r>
    <r>
      <rPr>
        <b/>
        <vertAlign val="subscript"/>
        <sz val="12"/>
        <color theme="1"/>
        <rFont val="Calibri"/>
        <family val="2"/>
        <scheme val="minor"/>
      </rPr>
      <t>s</t>
    </r>
    <r>
      <rPr>
        <b/>
        <sz val="12"/>
        <color theme="1"/>
        <rFont val="Calibri"/>
        <family val="2"/>
        <scheme val="minor"/>
      </rPr>
      <t>'</t>
    </r>
  </si>
  <si>
    <r>
      <rPr>
        <b/>
        <sz val="12"/>
        <color theme="1"/>
        <rFont val="Symbol"/>
        <family val="1"/>
        <charset val="2"/>
      </rPr>
      <t>e</t>
    </r>
    <r>
      <rPr>
        <b/>
        <vertAlign val="subscript"/>
        <sz val="12"/>
        <color theme="1"/>
        <rFont val="Calibri"/>
        <family val="2"/>
        <scheme val="minor"/>
      </rPr>
      <t>s</t>
    </r>
  </si>
  <si>
    <r>
      <rPr>
        <b/>
        <sz val="12"/>
        <color theme="1"/>
        <rFont val="Symbol"/>
        <family val="1"/>
        <charset val="2"/>
      </rPr>
      <t>s</t>
    </r>
    <r>
      <rPr>
        <b/>
        <vertAlign val="subscript"/>
        <sz val="12"/>
        <color theme="1"/>
        <rFont val="Calibri"/>
        <family val="2"/>
        <scheme val="minor"/>
      </rPr>
      <t>s</t>
    </r>
  </si>
  <si>
    <r>
      <t>N</t>
    </r>
    <r>
      <rPr>
        <b/>
        <vertAlign val="subscript"/>
        <sz val="12"/>
        <color theme="1"/>
        <rFont val="Calibri"/>
        <family val="2"/>
        <scheme val="minor"/>
      </rPr>
      <t>s</t>
    </r>
  </si>
  <si>
    <r>
      <t>M</t>
    </r>
    <r>
      <rPr>
        <b/>
        <vertAlign val="subscript"/>
        <sz val="12"/>
        <color theme="1"/>
        <rFont val="Calibri"/>
        <family val="2"/>
        <scheme val="minor"/>
      </rPr>
      <t>c</t>
    </r>
  </si>
  <si>
    <r>
      <t>M</t>
    </r>
    <r>
      <rPr>
        <b/>
        <vertAlign val="subscript"/>
        <sz val="12"/>
        <color theme="1"/>
        <rFont val="Calibri"/>
        <family val="2"/>
        <scheme val="minor"/>
      </rPr>
      <t>s</t>
    </r>
    <r>
      <rPr>
        <b/>
        <sz val="12"/>
        <color theme="1"/>
        <rFont val="Calibri"/>
        <family val="2"/>
        <scheme val="minor"/>
      </rPr>
      <t>'</t>
    </r>
  </si>
  <si>
    <r>
      <t>M</t>
    </r>
    <r>
      <rPr>
        <b/>
        <vertAlign val="subscript"/>
        <sz val="12"/>
        <color theme="1"/>
        <rFont val="Calibri"/>
        <family val="2"/>
        <scheme val="minor"/>
      </rPr>
      <t>s</t>
    </r>
  </si>
  <si>
    <r>
      <t>N</t>
    </r>
    <r>
      <rPr>
        <b/>
        <vertAlign val="subscript"/>
        <sz val="12"/>
        <color theme="1"/>
        <rFont val="Calibri"/>
        <family val="2"/>
        <scheme val="minor"/>
      </rPr>
      <t>Rd</t>
    </r>
  </si>
  <si>
    <r>
      <t>M</t>
    </r>
    <r>
      <rPr>
        <b/>
        <vertAlign val="subscript"/>
        <sz val="12"/>
        <color theme="1"/>
        <rFont val="Calibri"/>
        <family val="2"/>
        <scheme val="minor"/>
      </rPr>
      <t>Rd</t>
    </r>
  </si>
  <si>
    <r>
      <t>f</t>
    </r>
    <r>
      <rPr>
        <vertAlign val="subscript"/>
        <sz val="12"/>
        <color theme="1"/>
        <rFont val="Calibri"/>
        <family val="2"/>
        <scheme val="minor"/>
      </rPr>
      <t>cd</t>
    </r>
    <r>
      <rPr>
        <sz val="12"/>
        <color theme="1"/>
        <rFont val="Calibri"/>
        <family val="2"/>
        <scheme val="minor"/>
      </rPr>
      <t>:</t>
    </r>
  </si>
  <si>
    <r>
      <t>f</t>
    </r>
    <r>
      <rPr>
        <vertAlign val="subscript"/>
        <sz val="12"/>
        <color theme="1"/>
        <rFont val="Calibri"/>
        <family val="2"/>
        <scheme val="minor"/>
      </rPr>
      <t>yd</t>
    </r>
    <r>
      <rPr>
        <sz val="12"/>
        <color theme="1"/>
        <rFont val="Calibri"/>
        <family val="2"/>
        <scheme val="minor"/>
      </rPr>
      <t>:</t>
    </r>
  </si>
  <si>
    <r>
      <rPr>
        <sz val="12"/>
        <color theme="1"/>
        <rFont val="Symbol"/>
        <family val="1"/>
        <charset val="2"/>
      </rPr>
      <t>e</t>
    </r>
    <r>
      <rPr>
        <vertAlign val="subscript"/>
        <sz val="12"/>
        <color theme="1"/>
        <rFont val="Calibri"/>
        <family val="2"/>
        <scheme val="minor"/>
      </rPr>
      <t>cu</t>
    </r>
    <r>
      <rPr>
        <sz val="12"/>
        <color theme="1"/>
        <rFont val="Calibri"/>
        <family val="2"/>
        <scheme val="minor"/>
      </rPr>
      <t>:</t>
    </r>
  </si>
  <si>
    <r>
      <t>E</t>
    </r>
    <r>
      <rPr>
        <vertAlign val="subscript"/>
        <sz val="12"/>
        <color theme="1"/>
        <rFont val="Calibri"/>
        <family val="2"/>
        <scheme val="minor"/>
      </rPr>
      <t>s</t>
    </r>
    <r>
      <rPr>
        <sz val="12"/>
        <color theme="1"/>
        <rFont val="Calibri"/>
        <family val="2"/>
        <scheme val="minor"/>
      </rPr>
      <t>:</t>
    </r>
  </si>
  <si>
    <r>
      <rPr>
        <sz val="12"/>
        <color theme="1"/>
        <rFont val="Symbol"/>
        <family val="1"/>
        <charset val="2"/>
      </rPr>
      <t>e</t>
    </r>
    <r>
      <rPr>
        <vertAlign val="subscript"/>
        <sz val="12"/>
        <color theme="1"/>
        <rFont val="Calibri"/>
        <family val="2"/>
        <scheme val="minor"/>
      </rPr>
      <t>c2</t>
    </r>
    <r>
      <rPr>
        <sz val="12"/>
        <color theme="1"/>
        <rFont val="Calibri"/>
        <family val="2"/>
        <scheme val="minor"/>
      </rPr>
      <t>:</t>
    </r>
  </si>
  <si>
    <r>
      <rPr>
        <sz val="12"/>
        <color theme="1"/>
        <rFont val="Symbol"/>
        <family val="1"/>
        <charset val="2"/>
      </rPr>
      <t>e</t>
    </r>
    <r>
      <rPr>
        <vertAlign val="subscript"/>
        <sz val="12"/>
        <color theme="1"/>
        <rFont val="Calibri"/>
        <family val="2"/>
        <scheme val="minor"/>
      </rPr>
      <t>yd</t>
    </r>
    <r>
      <rPr>
        <sz val="12"/>
        <color theme="1"/>
        <rFont val="Calibri"/>
        <family val="2"/>
        <scheme val="minor"/>
      </rPr>
      <t>:</t>
    </r>
  </si>
  <si>
    <r>
      <t>A</t>
    </r>
    <r>
      <rPr>
        <vertAlign val="subscript"/>
        <sz val="12"/>
        <color theme="1"/>
        <rFont val="Calibri"/>
        <family val="2"/>
        <scheme val="minor"/>
      </rPr>
      <t>s</t>
    </r>
    <r>
      <rPr>
        <sz val="12"/>
        <color theme="1"/>
        <rFont val="Calibri"/>
        <family val="2"/>
        <scheme val="minor"/>
      </rPr>
      <t>':</t>
    </r>
  </si>
  <si>
    <r>
      <t>A</t>
    </r>
    <r>
      <rPr>
        <vertAlign val="subscript"/>
        <sz val="12"/>
        <color theme="1"/>
        <rFont val="Calibri"/>
        <family val="2"/>
        <scheme val="minor"/>
      </rPr>
      <t>s</t>
    </r>
    <r>
      <rPr>
        <sz val="12"/>
        <color theme="1"/>
        <rFont val="Calibri"/>
        <family val="2"/>
        <scheme val="minor"/>
      </rPr>
      <t>:</t>
    </r>
  </si>
  <si>
    <r>
      <t>N</t>
    </r>
    <r>
      <rPr>
        <b/>
        <vertAlign val="subscript"/>
        <sz val="12"/>
        <color theme="1"/>
        <rFont val="Calibri"/>
        <family val="2"/>
        <scheme val="minor"/>
      </rPr>
      <t>Ed</t>
    </r>
    <r>
      <rPr>
        <b/>
        <sz val="12"/>
        <color theme="1"/>
        <rFont val="Calibri"/>
        <family val="2"/>
        <scheme val="minor"/>
      </rPr>
      <t xml:space="preserve"> (kN)</t>
    </r>
  </si>
  <si>
    <r>
      <t>M</t>
    </r>
    <r>
      <rPr>
        <b/>
        <vertAlign val="subscript"/>
        <sz val="12"/>
        <color theme="1"/>
        <rFont val="Calibri"/>
        <family val="2"/>
        <scheme val="minor"/>
      </rPr>
      <t>Ed</t>
    </r>
    <r>
      <rPr>
        <b/>
        <sz val="12"/>
        <color theme="1"/>
        <rFont val="Calibri"/>
        <family val="2"/>
        <scheme val="minor"/>
      </rPr>
      <t xml:space="preserve"> (kNm)</t>
    </r>
  </si>
  <si>
    <r>
      <t>f</t>
    </r>
    <r>
      <rPr>
        <vertAlign val="subscript"/>
        <sz val="12"/>
        <color theme="1"/>
        <rFont val="Calibri"/>
        <family val="2"/>
        <scheme val="minor"/>
      </rPr>
      <t>ck</t>
    </r>
    <r>
      <rPr>
        <sz val="12"/>
        <color theme="1"/>
        <rFont val="Calibri"/>
        <family val="2"/>
        <scheme val="minor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</si>
</sst>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Symbol"/>
      <family val="1"/>
      <charset val="2"/>
    </font>
    <font>
      <b/>
      <vertAlign val="subscript"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sz val="12"/>
      <color theme="1"/>
      <name val="Symbol"/>
      <family val="1"/>
      <charset val="2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4" borderId="1" xfId="0" applyFill="1" applyBorder="1"/>
    <xf numFmtId="2" fontId="0" fillId="4" borderId="2" xfId="0" applyNumberFormat="1" applyFill="1" applyBorder="1"/>
    <xf numFmtId="165" fontId="0" fillId="4" borderId="2" xfId="0" applyNumberFormat="1" applyFill="1" applyBorder="1"/>
    <xf numFmtId="0" fontId="0" fillId="4" borderId="2" xfId="0" applyFill="1" applyBorder="1"/>
    <xf numFmtId="164" fontId="0" fillId="4" borderId="2" xfId="0" applyNumberFormat="1" applyFill="1" applyBorder="1"/>
    <xf numFmtId="165" fontId="1" fillId="4" borderId="2" xfId="0" applyNumberFormat="1" applyFont="1" applyFill="1" applyBorder="1" applyAlignment="1">
      <alignment horizontal="center"/>
    </xf>
    <xf numFmtId="165" fontId="1" fillId="4" borderId="3" xfId="0" applyNumberFormat="1" applyFont="1" applyFill="1" applyBorder="1"/>
    <xf numFmtId="0" fontId="0" fillId="4" borderId="4" xfId="0" applyFill="1" applyBorder="1"/>
    <xf numFmtId="2" fontId="0" fillId="4" borderId="0" xfId="0" applyNumberFormat="1" applyFill="1" applyBorder="1"/>
    <xf numFmtId="165" fontId="0" fillId="4" borderId="0" xfId="0" applyNumberFormat="1" applyFill="1" applyBorder="1"/>
    <xf numFmtId="0" fontId="0" fillId="4" borderId="0" xfId="0" applyFill="1" applyBorder="1"/>
    <xf numFmtId="164" fontId="0" fillId="4" borderId="0" xfId="0" applyNumberFormat="1" applyFill="1" applyBorder="1"/>
    <xf numFmtId="165" fontId="1" fillId="4" borderId="0" xfId="0" applyNumberFormat="1" applyFont="1" applyFill="1" applyBorder="1" applyAlignment="1">
      <alignment horizontal="center"/>
    </xf>
    <xf numFmtId="165" fontId="1" fillId="4" borderId="5" xfId="0" applyNumberFormat="1" applyFont="1" applyFill="1" applyBorder="1"/>
    <xf numFmtId="0" fontId="0" fillId="4" borderId="6" xfId="0" applyFill="1" applyBorder="1"/>
    <xf numFmtId="2" fontId="0" fillId="4" borderId="7" xfId="0" applyNumberFormat="1" applyFill="1" applyBorder="1"/>
    <xf numFmtId="165" fontId="0" fillId="4" borderId="7" xfId="0" applyNumberFormat="1" applyFill="1" applyBorder="1"/>
    <xf numFmtId="0" fontId="0" fillId="4" borderId="7" xfId="0" applyFill="1" applyBorder="1"/>
    <xf numFmtId="164" fontId="0" fillId="4" borderId="7" xfId="0" applyNumberFormat="1" applyFill="1" applyBorder="1"/>
    <xf numFmtId="165" fontId="1" fillId="4" borderId="7" xfId="0" applyNumberFormat="1" applyFont="1" applyFill="1" applyBorder="1" applyAlignment="1">
      <alignment horizontal="center"/>
    </xf>
    <xf numFmtId="165" fontId="1" fillId="4" borderId="8" xfId="0" applyNumberFormat="1" applyFont="1" applyFill="1" applyBorder="1"/>
    <xf numFmtId="2" fontId="0" fillId="3" borderId="2" xfId="0" applyNumberFormat="1" applyFill="1" applyBorder="1"/>
    <xf numFmtId="165" fontId="0" fillId="3" borderId="2" xfId="0" applyNumberFormat="1" applyFill="1" applyBorder="1"/>
    <xf numFmtId="0" fontId="0" fillId="3" borderId="2" xfId="0" applyFill="1" applyBorder="1"/>
    <xf numFmtId="164" fontId="0" fillId="3" borderId="2" xfId="0" applyNumberFormat="1" applyFill="1" applyBorder="1"/>
    <xf numFmtId="165" fontId="1" fillId="3" borderId="2" xfId="0" applyNumberFormat="1" applyFont="1" applyFill="1" applyBorder="1" applyAlignment="1">
      <alignment horizontal="center"/>
    </xf>
    <xf numFmtId="165" fontId="1" fillId="3" borderId="3" xfId="0" applyNumberFormat="1" applyFont="1" applyFill="1" applyBorder="1"/>
    <xf numFmtId="2" fontId="0" fillId="3" borderId="0" xfId="0" applyNumberFormat="1" applyFill="1" applyBorder="1"/>
    <xf numFmtId="165" fontId="0" fillId="3" borderId="0" xfId="0" applyNumberFormat="1" applyFill="1" applyBorder="1"/>
    <xf numFmtId="0" fontId="0" fillId="3" borderId="0" xfId="0" applyFill="1" applyBorder="1"/>
    <xf numFmtId="164" fontId="0" fillId="3" borderId="0" xfId="0" applyNumberFormat="1" applyFill="1" applyBorder="1"/>
    <xf numFmtId="165" fontId="1" fillId="3" borderId="0" xfId="0" applyNumberFormat="1" applyFont="1" applyFill="1" applyBorder="1" applyAlignment="1">
      <alignment horizontal="center"/>
    </xf>
    <xf numFmtId="165" fontId="1" fillId="3" borderId="5" xfId="0" applyNumberFormat="1" applyFont="1" applyFill="1" applyBorder="1"/>
    <xf numFmtId="0" fontId="0" fillId="3" borderId="6" xfId="0" applyFill="1" applyBorder="1"/>
    <xf numFmtId="2" fontId="0" fillId="3" borderId="7" xfId="0" applyNumberFormat="1" applyFill="1" applyBorder="1"/>
    <xf numFmtId="165" fontId="0" fillId="3" borderId="7" xfId="0" applyNumberFormat="1" applyFill="1" applyBorder="1"/>
    <xf numFmtId="0" fontId="0" fillId="3" borderId="7" xfId="0" applyFill="1" applyBorder="1"/>
    <xf numFmtId="164" fontId="0" fillId="3" borderId="7" xfId="0" applyNumberFormat="1" applyFill="1" applyBorder="1"/>
    <xf numFmtId="165" fontId="1" fillId="3" borderId="7" xfId="0" applyNumberFormat="1" applyFont="1" applyFill="1" applyBorder="1" applyAlignment="1">
      <alignment horizontal="center"/>
    </xf>
    <xf numFmtId="165" fontId="1" fillId="3" borderId="8" xfId="0" applyNumberFormat="1" applyFont="1" applyFill="1" applyBorder="1"/>
    <xf numFmtId="0" fontId="2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5" fillId="0" borderId="0" xfId="0" applyFont="1"/>
    <xf numFmtId="0" fontId="5" fillId="2" borderId="0" xfId="0" applyFont="1" applyFill="1"/>
    <xf numFmtId="0" fontId="5" fillId="0" borderId="0" xfId="0" applyFont="1" applyFill="1"/>
    <xf numFmtId="0" fontId="5" fillId="0" borderId="0" xfId="0" applyFont="1" applyAlignment="1">
      <alignment horizontal="right"/>
    </xf>
    <xf numFmtId="0" fontId="2" fillId="0" borderId="1" xfId="0" applyFont="1" applyBorder="1"/>
    <xf numFmtId="0" fontId="8" fillId="0" borderId="6" xfId="0" applyFont="1" applyBorder="1"/>
    <xf numFmtId="165" fontId="0" fillId="3" borderId="1" xfId="0" applyNumberFormat="1" applyFill="1" applyBorder="1"/>
    <xf numFmtId="165" fontId="0" fillId="3" borderId="4" xfId="0" applyNumberFormat="1" applyFill="1" applyBorder="1"/>
    <xf numFmtId="165" fontId="0" fillId="3" borderId="6" xfId="0" applyNumberFormat="1" applyFill="1" applyBorder="1"/>
    <xf numFmtId="166" fontId="0" fillId="3" borderId="1" xfId="0" applyNumberFormat="1" applyFill="1" applyBorder="1"/>
    <xf numFmtId="0" fontId="5" fillId="0" borderId="0" xfId="0" applyFont="1" applyBorder="1"/>
    <xf numFmtId="0" fontId="2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8" xfId="0" applyFont="1" applyBorder="1"/>
    <xf numFmtId="165" fontId="5" fillId="0" borderId="0" xfId="0" applyNumberFormat="1" applyFont="1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'Domini M-N'!$N$11:$N$58</c:f>
              <c:numCache>
                <c:formatCode>0.0</c:formatCode>
                <c:ptCount val="48"/>
                <c:pt idx="0">
                  <c:v>982.94556559523812</c:v>
                </c:pt>
                <c:pt idx="1">
                  <c:v>14.458355555555613</c:v>
                </c:pt>
                <c:pt idx="2">
                  <c:v>-401.3888888888888</c:v>
                </c:pt>
                <c:pt idx="3">
                  <c:v>-602.08333333333326</c:v>
                </c:pt>
                <c:pt idx="4">
                  <c:v>-802.7777777777776</c:v>
                </c:pt>
                <c:pt idx="5">
                  <c:v>-1003.4722222222222</c:v>
                </c:pt>
                <c:pt idx="6">
                  <c:v>-1204.1666666666665</c:v>
                </c:pt>
                <c:pt idx="7">
                  <c:v>-1404.8611111111109</c:v>
                </c:pt>
                <c:pt idx="8">
                  <c:v>-1732.788355555555</c:v>
                </c:pt>
                <c:pt idx="9">
                  <c:v>-2071.6428000000001</c:v>
                </c:pt>
                <c:pt idx="10">
                  <c:v>-2382.8652444444447</c:v>
                </c:pt>
                <c:pt idx="11">
                  <c:v>-2673.9916888888893</c:v>
                </c:pt>
                <c:pt idx="12">
                  <c:v>-2950.0461333333328</c:v>
                </c:pt>
                <c:pt idx="13">
                  <c:v>-2950.0461333333328</c:v>
                </c:pt>
                <c:pt idx="14">
                  <c:v>-3102.9288000000006</c:v>
                </c:pt>
                <c:pt idx="15">
                  <c:v>-3244.4781333333331</c:v>
                </c:pt>
                <c:pt idx="16">
                  <c:v>-3374.6941333333334</c:v>
                </c:pt>
                <c:pt idx="17">
                  <c:v>-3493.5767999999998</c:v>
                </c:pt>
                <c:pt idx="18">
                  <c:v>-3601.1261333333332</c:v>
                </c:pt>
                <c:pt idx="19">
                  <c:v>-3697.3421333333331</c:v>
                </c:pt>
                <c:pt idx="20">
                  <c:v>-3782.2248</c:v>
                </c:pt>
                <c:pt idx="21">
                  <c:v>-3855.7741333333333</c:v>
                </c:pt>
                <c:pt idx="22">
                  <c:v>-3917.9901333333332</c:v>
                </c:pt>
                <c:pt idx="23">
                  <c:v>-3957.9456</c:v>
                </c:pt>
                <c:pt idx="24">
                  <c:v>-3957.9456</c:v>
                </c:pt>
                <c:pt idx="25">
                  <c:v>-3917.9901333333332</c:v>
                </c:pt>
                <c:pt idx="26">
                  <c:v>-3855.7741333333333</c:v>
                </c:pt>
                <c:pt idx="27">
                  <c:v>-3782.2248</c:v>
                </c:pt>
                <c:pt idx="28">
                  <c:v>-3697.3421333333331</c:v>
                </c:pt>
                <c:pt idx="29">
                  <c:v>-3601.1261333333332</c:v>
                </c:pt>
                <c:pt idx="30">
                  <c:v>-3493.5768000000003</c:v>
                </c:pt>
                <c:pt idx="31">
                  <c:v>-3374.6941333333334</c:v>
                </c:pt>
                <c:pt idx="32">
                  <c:v>-3244.4781333333331</c:v>
                </c:pt>
                <c:pt idx="33">
                  <c:v>-3102.9288000000006</c:v>
                </c:pt>
                <c:pt idx="34">
                  <c:v>-2950.0461333333328</c:v>
                </c:pt>
                <c:pt idx="35">
                  <c:v>-2950.0461333333328</c:v>
                </c:pt>
                <c:pt idx="36">
                  <c:v>-2673.9916888888893</c:v>
                </c:pt>
                <c:pt idx="37">
                  <c:v>-2382.8652444444447</c:v>
                </c:pt>
                <c:pt idx="38">
                  <c:v>-2071.6428000000001</c:v>
                </c:pt>
                <c:pt idx="39">
                  <c:v>-1732.788355555555</c:v>
                </c:pt>
                <c:pt idx="40">
                  <c:v>-1404.8611111111109</c:v>
                </c:pt>
                <c:pt idx="41">
                  <c:v>-1204.1666666666665</c:v>
                </c:pt>
                <c:pt idx="42">
                  <c:v>-1003.4722222222223</c:v>
                </c:pt>
                <c:pt idx="43">
                  <c:v>-802.7777777777776</c:v>
                </c:pt>
                <c:pt idx="44">
                  <c:v>-602.08333333333326</c:v>
                </c:pt>
                <c:pt idx="45">
                  <c:v>-401.3888888888888</c:v>
                </c:pt>
                <c:pt idx="46">
                  <c:v>14.458355555555613</c:v>
                </c:pt>
                <c:pt idx="47">
                  <c:v>982.94556559523812</c:v>
                </c:pt>
              </c:numCache>
            </c:numRef>
          </c:xVal>
          <c:yVal>
            <c:numRef>
              <c:f>'Domini M-N'!$O$11:$O$58</c:f>
              <c:numCache>
                <c:formatCode>0.0</c:formatCode>
                <c:ptCount val="48"/>
                <c:pt idx="0">
                  <c:v>1.2041666536788398E-5</c:v>
                </c:pt>
                <c:pt idx="1">
                  <c:v>303.38903188888889</c:v>
                </c:pt>
                <c:pt idx="2">
                  <c:v>425.72008044444442</c:v>
                </c:pt>
                <c:pt idx="3">
                  <c:v>471.61417766666671</c:v>
                </c:pt>
                <c:pt idx="4">
                  <c:v>507.76869155555562</c:v>
                </c:pt>
                <c:pt idx="5">
                  <c:v>534.18362211111116</c:v>
                </c:pt>
                <c:pt idx="6">
                  <c:v>550.85896933333333</c:v>
                </c:pt>
                <c:pt idx="7">
                  <c:v>557.79473322222213</c:v>
                </c:pt>
                <c:pt idx="8">
                  <c:v>515.54874577777775</c:v>
                </c:pt>
                <c:pt idx="9">
                  <c:v>460.17574300000001</c:v>
                </c:pt>
                <c:pt idx="10">
                  <c:v>403.62907688888885</c:v>
                </c:pt>
                <c:pt idx="11">
                  <c:v>343.57258744444437</c:v>
                </c:pt>
                <c:pt idx="12">
                  <c:v>278.44883466666653</c:v>
                </c:pt>
                <c:pt idx="13">
                  <c:v>278.44883466666653</c:v>
                </c:pt>
                <c:pt idx="14">
                  <c:v>237.51520800000014</c:v>
                </c:pt>
                <c:pt idx="15">
                  <c:v>199.41491466666662</c:v>
                </c:pt>
                <c:pt idx="16">
                  <c:v>164.14795466666661</c:v>
                </c:pt>
                <c:pt idx="17">
                  <c:v>131.71432799999997</c:v>
                </c:pt>
                <c:pt idx="18">
                  <c:v>102.11403466666646</c:v>
                </c:pt>
                <c:pt idx="19">
                  <c:v>75.347074666666657</c:v>
                </c:pt>
                <c:pt idx="20">
                  <c:v>51.413448000000017</c:v>
                </c:pt>
                <c:pt idx="21">
                  <c:v>30.313154666666662</c:v>
                </c:pt>
                <c:pt idx="22">
                  <c:v>12.046194666666622</c:v>
                </c:pt>
                <c:pt idx="23">
                  <c:v>0</c:v>
                </c:pt>
                <c:pt idx="24">
                  <c:v>0</c:v>
                </c:pt>
                <c:pt idx="25">
                  <c:v>-12.046194666666651</c:v>
                </c:pt>
                <c:pt idx="26">
                  <c:v>-30.313154666666662</c:v>
                </c:pt>
                <c:pt idx="27">
                  <c:v>-51.413448000000031</c:v>
                </c:pt>
                <c:pt idx="28">
                  <c:v>-75.347074666666671</c:v>
                </c:pt>
                <c:pt idx="29">
                  <c:v>-102.11403466666646</c:v>
                </c:pt>
                <c:pt idx="30">
                  <c:v>-131.71432799999997</c:v>
                </c:pt>
                <c:pt idx="31">
                  <c:v>-164.14795466666658</c:v>
                </c:pt>
                <c:pt idx="32">
                  <c:v>-199.41491466666662</c:v>
                </c:pt>
                <c:pt idx="33">
                  <c:v>-237.51520800000011</c:v>
                </c:pt>
                <c:pt idx="34">
                  <c:v>-278.44883466666658</c:v>
                </c:pt>
                <c:pt idx="35">
                  <c:v>-278.44883466666658</c:v>
                </c:pt>
                <c:pt idx="36">
                  <c:v>-343.57258744444437</c:v>
                </c:pt>
                <c:pt idx="37">
                  <c:v>-403.6290768888889</c:v>
                </c:pt>
                <c:pt idx="38">
                  <c:v>-460.17574300000001</c:v>
                </c:pt>
                <c:pt idx="39">
                  <c:v>-515.54874577777775</c:v>
                </c:pt>
                <c:pt idx="40">
                  <c:v>-557.79473322222213</c:v>
                </c:pt>
                <c:pt idx="41">
                  <c:v>-550.85896933333333</c:v>
                </c:pt>
                <c:pt idx="42">
                  <c:v>-534.18362211111116</c:v>
                </c:pt>
                <c:pt idx="43">
                  <c:v>-507.76869155555562</c:v>
                </c:pt>
                <c:pt idx="44">
                  <c:v>-471.61417766666671</c:v>
                </c:pt>
                <c:pt idx="45">
                  <c:v>-425.72008044444442</c:v>
                </c:pt>
                <c:pt idx="46">
                  <c:v>-303.38903188888889</c:v>
                </c:pt>
                <c:pt idx="47">
                  <c:v>-1.2041666536788398E-5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30-4153-B9C9-9851B14F3A7E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Pt>
            <c:idx val="0"/>
            <c:marker>
              <c:symbol val="circle"/>
              <c:size val="8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923C-4B27-B74F-159394C290BA}"/>
              </c:ext>
            </c:extLst>
          </c:dPt>
          <c:xVal>
            <c:numRef>
              <c:f>'Domini M-N'!$Q$2:$Q$10</c:f>
              <c:numCache>
                <c:formatCode>General</c:formatCode>
                <c:ptCount val="9"/>
                <c:pt idx="0">
                  <c:v>-755.9</c:v>
                </c:pt>
                <c:pt idx="1">
                  <c:v>15.9</c:v>
                </c:pt>
                <c:pt idx="2">
                  <c:v>-516</c:v>
                </c:pt>
                <c:pt idx="3">
                  <c:v>-779</c:v>
                </c:pt>
                <c:pt idx="4">
                  <c:v>-516</c:v>
                </c:pt>
                <c:pt idx="5">
                  <c:v>-779</c:v>
                </c:pt>
                <c:pt idx="6">
                  <c:v>-779</c:v>
                </c:pt>
                <c:pt idx="7">
                  <c:v>-1137.4000000000001</c:v>
                </c:pt>
                <c:pt idx="8">
                  <c:v>-420.6</c:v>
                </c:pt>
              </c:numCache>
            </c:numRef>
          </c:xVal>
          <c:yVal>
            <c:numRef>
              <c:f>'Domini M-N'!$R$2:$R$10</c:f>
              <c:numCache>
                <c:formatCode>General</c:formatCode>
                <c:ptCount val="9"/>
                <c:pt idx="0">
                  <c:v>303.10000000000002</c:v>
                </c:pt>
                <c:pt idx="1">
                  <c:v>303.01</c:v>
                </c:pt>
                <c:pt idx="2">
                  <c:v>378.8</c:v>
                </c:pt>
                <c:pt idx="3">
                  <c:v>362.4</c:v>
                </c:pt>
                <c:pt idx="4">
                  <c:v>351.8</c:v>
                </c:pt>
                <c:pt idx="5">
                  <c:v>336.5</c:v>
                </c:pt>
                <c:pt idx="6">
                  <c:v>367.1</c:v>
                </c:pt>
                <c:pt idx="7">
                  <c:v>293.7</c:v>
                </c:pt>
                <c:pt idx="8">
                  <c:v>293.7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76-48C9-8E00-AFD8F36E9B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823151"/>
        <c:axId val="187823983"/>
      </c:scatterChart>
      <c:valAx>
        <c:axId val="187823151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7823983"/>
        <c:crosses val="autoZero"/>
        <c:crossBetween val="midCat"/>
        <c:majorUnit val="1000"/>
      </c:valAx>
      <c:valAx>
        <c:axId val="187823983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7823151"/>
        <c:crosses val="autoZero"/>
        <c:crossBetween val="midCat"/>
        <c:majorUnit val="2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2857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486585</xdr:colOff>
      <xdr:row>6</xdr:row>
      <xdr:rowOff>26459</xdr:rowOff>
    </xdr:from>
    <xdr:to>
      <xdr:col>11</xdr:col>
      <xdr:colOff>152796</xdr:colOff>
      <xdr:row>28</xdr:row>
      <xdr:rowOff>169463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0</xdr:colOff>
      <xdr:row>12</xdr:row>
      <xdr:rowOff>0</xdr:rowOff>
    </xdr:from>
    <xdr:to>
      <xdr:col>19</xdr:col>
      <xdr:colOff>130186</xdr:colOff>
      <xdr:row>19</xdr:row>
      <xdr:rowOff>7461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363200" y="2171700"/>
          <a:ext cx="2454286" cy="1274286"/>
        </a:xfrm>
        <a:prstGeom prst="rect">
          <a:avLst/>
        </a:prstGeom>
      </xdr:spPr>
    </xdr:pic>
    <xdr:clientData/>
  </xdr:twoCellAnchor>
  <xdr:twoCellAnchor editAs="oneCell">
    <xdr:from>
      <xdr:col>15</xdr:col>
      <xdr:colOff>642938</xdr:colOff>
      <xdr:row>24</xdr:row>
      <xdr:rowOff>166687</xdr:rowOff>
    </xdr:from>
    <xdr:to>
      <xdr:col>19</xdr:col>
      <xdr:colOff>277593</xdr:colOff>
      <xdr:row>31</xdr:row>
      <xdr:rowOff>77004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358438" y="4638675"/>
          <a:ext cx="2608571" cy="1177143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46</xdr:row>
      <xdr:rowOff>176742</xdr:rowOff>
    </xdr:from>
    <xdr:to>
      <xdr:col>19</xdr:col>
      <xdr:colOff>150186</xdr:colOff>
      <xdr:row>53</xdr:row>
      <xdr:rowOff>115631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29333" y="8849784"/>
          <a:ext cx="2467936" cy="1198306"/>
        </a:xfrm>
        <a:prstGeom prst="rect">
          <a:avLst/>
        </a:prstGeom>
      </xdr:spPr>
    </xdr:pic>
    <xdr:clientData/>
  </xdr:twoCellAnchor>
  <xdr:twoCellAnchor editAs="oneCell">
    <xdr:from>
      <xdr:col>15</xdr:col>
      <xdr:colOff>635000</xdr:colOff>
      <xdr:row>35</xdr:row>
      <xdr:rowOff>169334</xdr:rowOff>
    </xdr:from>
    <xdr:to>
      <xdr:col>19</xdr:col>
      <xdr:colOff>254630</xdr:colOff>
      <xdr:row>43</xdr:row>
      <xdr:rowOff>5450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318750" y="6858001"/>
          <a:ext cx="2582963" cy="12754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8"/>
  <sheetViews>
    <sheetView showGridLines="0" tabSelected="1" zoomScale="90" zoomScaleNormal="90" workbookViewId="0">
      <selection activeCell="B6" sqref="B6"/>
    </sheetView>
  </sheetViews>
  <sheetFormatPr defaultRowHeight="15" x14ac:dyDescent="0.25"/>
  <cols>
    <col min="17" max="18" width="11.7109375" customWidth="1"/>
  </cols>
  <sheetData>
    <row r="1" spans="1:18" ht="18.75" x14ac:dyDescent="0.35">
      <c r="A1" s="45" t="s">
        <v>0</v>
      </c>
      <c r="B1" s="46">
        <v>30</v>
      </c>
      <c r="C1" s="45" t="s">
        <v>4</v>
      </c>
      <c r="D1" s="45"/>
      <c r="E1" s="45" t="s">
        <v>36</v>
      </c>
      <c r="F1" s="46">
        <v>25</v>
      </c>
      <c r="G1" s="45" t="s">
        <v>8</v>
      </c>
      <c r="K1" s="45"/>
      <c r="N1" s="55"/>
      <c r="O1" s="45"/>
      <c r="Q1" s="49" t="s">
        <v>34</v>
      </c>
      <c r="R1" s="56" t="s">
        <v>35</v>
      </c>
    </row>
    <row r="2" spans="1:18" ht="18.75" x14ac:dyDescent="0.35">
      <c r="A2" s="45" t="s">
        <v>1</v>
      </c>
      <c r="B2" s="46">
        <v>70</v>
      </c>
      <c r="C2" s="45" t="s">
        <v>4</v>
      </c>
      <c r="D2" s="45"/>
      <c r="E2" s="45" t="s">
        <v>26</v>
      </c>
      <c r="F2" s="60">
        <f>0.85*F1/1.5</f>
        <v>14.166666666666666</v>
      </c>
      <c r="G2" s="45" t="s">
        <v>8</v>
      </c>
      <c r="H2" s="45" t="s">
        <v>27</v>
      </c>
      <c r="I2" s="46">
        <v>391.3</v>
      </c>
      <c r="J2" s="45" t="s">
        <v>5</v>
      </c>
      <c r="K2" s="45"/>
      <c r="N2" s="55"/>
      <c r="O2" s="45"/>
      <c r="Q2" s="57">
        <v>-755.9</v>
      </c>
      <c r="R2" s="58">
        <v>303.10000000000002</v>
      </c>
    </row>
    <row r="3" spans="1:18" ht="18.75" x14ac:dyDescent="0.35">
      <c r="A3" s="45" t="s">
        <v>2</v>
      </c>
      <c r="B3" s="46">
        <v>4</v>
      </c>
      <c r="C3" s="45" t="s">
        <v>4</v>
      </c>
      <c r="D3" s="45"/>
      <c r="E3" s="45" t="s">
        <v>28</v>
      </c>
      <c r="F3" s="46">
        <f>3.5*10^(-3)</f>
        <v>3.5000000000000001E-3</v>
      </c>
      <c r="G3" s="45"/>
      <c r="H3" s="45" t="s">
        <v>29</v>
      </c>
      <c r="I3" s="46">
        <v>200000</v>
      </c>
      <c r="J3" s="45" t="s">
        <v>8</v>
      </c>
      <c r="K3" s="45"/>
      <c r="N3" s="45"/>
      <c r="O3" s="45"/>
      <c r="Q3" s="57">
        <v>15.9</v>
      </c>
      <c r="R3" s="58">
        <v>303.01</v>
      </c>
    </row>
    <row r="4" spans="1:18" ht="18.75" x14ac:dyDescent="0.35">
      <c r="A4" s="45" t="s">
        <v>3</v>
      </c>
      <c r="B4" s="45">
        <f>hSez-cf</f>
        <v>66</v>
      </c>
      <c r="C4" s="45" t="s">
        <v>4</v>
      </c>
      <c r="D4" s="45"/>
      <c r="E4" s="45" t="s">
        <v>30</v>
      </c>
      <c r="F4" s="46">
        <f>2*10^(-3)</f>
        <v>2E-3</v>
      </c>
      <c r="G4" s="45"/>
      <c r="H4" s="45" t="s">
        <v>31</v>
      </c>
      <c r="I4" s="47">
        <f>I2/I3</f>
        <v>1.9564999999999999E-3</v>
      </c>
      <c r="J4" s="45"/>
      <c r="K4" s="45"/>
      <c r="N4" s="45"/>
      <c r="O4" s="45"/>
      <c r="Q4" s="57">
        <v>-516</v>
      </c>
      <c r="R4" s="58">
        <v>378.8</v>
      </c>
    </row>
    <row r="5" spans="1:18" ht="15.75" x14ac:dyDescent="0.25">
      <c r="A5" s="45"/>
      <c r="B5" s="45"/>
      <c r="C5" s="45"/>
      <c r="D5" s="45"/>
      <c r="E5" s="45"/>
      <c r="F5" s="45"/>
      <c r="G5" s="45"/>
      <c r="K5" s="45"/>
      <c r="N5" s="45"/>
      <c r="O5" s="45"/>
      <c r="Q5" s="57">
        <v>-779</v>
      </c>
      <c r="R5" s="58">
        <v>362.4</v>
      </c>
    </row>
    <row r="6" spans="1:18" ht="18.75" x14ac:dyDescent="0.35">
      <c r="A6" s="45" t="s">
        <v>32</v>
      </c>
      <c r="B6" s="46">
        <f>4*3.14</f>
        <v>12.56</v>
      </c>
      <c r="C6" s="45" t="s">
        <v>6</v>
      </c>
      <c r="D6" s="45"/>
      <c r="E6" s="45"/>
      <c r="F6" s="48"/>
      <c r="K6" s="45"/>
      <c r="N6" s="45"/>
      <c r="O6" s="45"/>
      <c r="Q6" s="57">
        <v>-516</v>
      </c>
      <c r="R6" s="58">
        <v>351.8</v>
      </c>
    </row>
    <row r="7" spans="1:18" ht="18.75" x14ac:dyDescent="0.35">
      <c r="A7" s="45" t="s">
        <v>33</v>
      </c>
      <c r="B7" s="47">
        <f>AsP</f>
        <v>12.56</v>
      </c>
      <c r="C7" s="45" t="s">
        <v>6</v>
      </c>
      <c r="D7" s="45"/>
      <c r="E7" s="45"/>
      <c r="F7" s="48"/>
      <c r="G7" s="45"/>
      <c r="H7" s="45"/>
      <c r="I7" s="45"/>
      <c r="J7" s="45"/>
      <c r="K7" s="45"/>
      <c r="N7" s="45"/>
      <c r="O7" s="45"/>
      <c r="Q7" s="57">
        <v>-779</v>
      </c>
      <c r="R7" s="58">
        <v>336.5</v>
      </c>
    </row>
    <row r="8" spans="1:18" ht="15.75" x14ac:dyDescent="0.25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Q8" s="57">
        <v>-779</v>
      </c>
      <c r="R8" s="58">
        <v>367.1</v>
      </c>
    </row>
    <row r="9" spans="1:18" ht="16.5" thickBot="1" x14ac:dyDescent="0.3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Q9" s="57">
        <v>-1137.4000000000001</v>
      </c>
      <c r="R9" s="58">
        <v>293.7</v>
      </c>
    </row>
    <row r="10" spans="1:18" ht="19.5" thickBot="1" x14ac:dyDescent="0.4">
      <c r="A10" s="41" t="s">
        <v>13</v>
      </c>
      <c r="B10" s="42" t="s">
        <v>11</v>
      </c>
      <c r="C10" s="43" t="s">
        <v>14</v>
      </c>
      <c r="D10" s="43" t="s">
        <v>15</v>
      </c>
      <c r="E10" s="43" t="s">
        <v>16</v>
      </c>
      <c r="F10" s="43" t="s">
        <v>17</v>
      </c>
      <c r="G10" s="43" t="s">
        <v>18</v>
      </c>
      <c r="H10" s="43" t="s">
        <v>19</v>
      </c>
      <c r="I10" s="43" t="s">
        <v>20</v>
      </c>
      <c r="J10" s="42" t="s">
        <v>12</v>
      </c>
      <c r="K10" s="43" t="s">
        <v>21</v>
      </c>
      <c r="L10" s="43" t="s">
        <v>22</v>
      </c>
      <c r="M10" s="43" t="s">
        <v>23</v>
      </c>
      <c r="N10" s="43" t="s">
        <v>24</v>
      </c>
      <c r="O10" s="44" t="s">
        <v>25</v>
      </c>
      <c r="Q10" s="50">
        <v>-420.6</v>
      </c>
      <c r="R10" s="59">
        <v>293.7</v>
      </c>
    </row>
    <row r="11" spans="1:18" x14ac:dyDescent="0.25">
      <c r="A11" s="54">
        <v>9.9999999999999995E-7</v>
      </c>
      <c r="B11" s="22">
        <f>1-4/21</f>
        <v>0.80952380952380953</v>
      </c>
      <c r="C11" s="23">
        <f t="shared" ref="C11:C23" si="0">-B11*bSez*A11*fcd/10</f>
        <v>-3.4404761904761901E-5</v>
      </c>
      <c r="D11" s="24">
        <f t="shared" ref="D11:D23" si="1">-(A11-cf)/A11*EpsCU</f>
        <v>13999.996500000001</v>
      </c>
      <c r="E11" s="23">
        <f t="shared" ref="E11:E34" si="2">IF(D11&lt;-EpsYd,-fyd,IF(D11&gt;EpsYd,fyd,D11/EpsYd*fyd))</f>
        <v>391.3</v>
      </c>
      <c r="F11" s="23">
        <f t="shared" ref="F11:F34" si="3">AsP*E11/10</f>
        <v>491.47280000000001</v>
      </c>
      <c r="G11" s="24">
        <f t="shared" ref="G11:G23" si="4">(dSez-A11)/A11*EpsCU</f>
        <v>230999.99650000004</v>
      </c>
      <c r="H11" s="23">
        <f t="shared" ref="H11:H35" si="5">IF(G11&lt;-EpsYd,-fyd,IF(G11&gt;EpsYd,fyd,G11/EpsYd*fyd))</f>
        <v>391.3</v>
      </c>
      <c r="I11" s="23">
        <f t="shared" ref="I11:I34" si="6">As*H11/10</f>
        <v>491.47280000000001</v>
      </c>
      <c r="J11" s="25">
        <f>1/2*(1-16/49)/(1-4/21)</f>
        <v>0.41596638655462187</v>
      </c>
      <c r="K11" s="23">
        <f t="shared" ref="K11:K23" si="7">-C11*(hSez/2-J11*A11)/10^2</f>
        <v>1.2041666523554423E-5</v>
      </c>
      <c r="L11" s="23">
        <f t="shared" ref="L11:L34" si="8">-F11*(hSez/2-cf)/10^2</f>
        <v>-152.35656800000001</v>
      </c>
      <c r="M11" s="23">
        <f t="shared" ref="M11:M34" si="9">I11*(hSez/2-cf)/10^2</f>
        <v>152.35656800000001</v>
      </c>
      <c r="N11" s="26">
        <f>C11+F11+I11</f>
        <v>982.94556559523812</v>
      </c>
      <c r="O11" s="27">
        <f>K11+L11+M11</f>
        <v>1.2041666536788398E-5</v>
      </c>
      <c r="Q11" t="s">
        <v>9</v>
      </c>
    </row>
    <row r="12" spans="1:18" x14ac:dyDescent="0.25">
      <c r="A12" s="52">
        <f>1*hSez/12</f>
        <v>5.833333333333333</v>
      </c>
      <c r="B12" s="28">
        <f t="shared" ref="B12:B23" si="10">1-4/21</f>
        <v>0.80952380952380953</v>
      </c>
      <c r="C12" s="29">
        <f t="shared" si="0"/>
        <v>-200.6944444444444</v>
      </c>
      <c r="D12" s="30">
        <f t="shared" si="1"/>
        <v>-1.0999999999999998E-3</v>
      </c>
      <c r="E12" s="29">
        <f t="shared" si="2"/>
        <v>-219.99999999999997</v>
      </c>
      <c r="F12" s="29">
        <f t="shared" si="3"/>
        <v>-276.32</v>
      </c>
      <c r="G12" s="30">
        <f t="shared" si="4"/>
        <v>3.61E-2</v>
      </c>
      <c r="H12" s="29">
        <f t="shared" si="5"/>
        <v>391.3</v>
      </c>
      <c r="I12" s="29">
        <f t="shared" si="6"/>
        <v>491.47280000000001</v>
      </c>
      <c r="J12" s="31">
        <f t="shared" ref="J12:J23" si="11">1/2*(1-16/49)/(1-4/21)</f>
        <v>0.41596638655462187</v>
      </c>
      <c r="K12" s="29">
        <f t="shared" si="7"/>
        <v>65.373263888888872</v>
      </c>
      <c r="L12" s="29">
        <f t="shared" si="8"/>
        <v>85.659199999999998</v>
      </c>
      <c r="M12" s="29">
        <f t="shared" si="9"/>
        <v>152.35656800000001</v>
      </c>
      <c r="N12" s="32">
        <f t="shared" ref="N12:N24" si="12">C12+F12+I12</f>
        <v>14.458355555555613</v>
      </c>
      <c r="O12" s="33">
        <f t="shared" ref="O12:O23" si="13">K12+L12+M12</f>
        <v>303.38903188888889</v>
      </c>
    </row>
    <row r="13" spans="1:18" x14ac:dyDescent="0.25">
      <c r="A13" s="52">
        <f>2*hSez/12</f>
        <v>11.666666666666666</v>
      </c>
      <c r="B13" s="28">
        <f t="shared" si="10"/>
        <v>0.80952380952380953</v>
      </c>
      <c r="C13" s="29">
        <f t="shared" si="0"/>
        <v>-401.3888888888888</v>
      </c>
      <c r="D13" s="30">
        <f t="shared" si="1"/>
        <v>-2.3E-3</v>
      </c>
      <c r="E13" s="29">
        <f t="shared" si="2"/>
        <v>-391.3</v>
      </c>
      <c r="F13" s="29">
        <f t="shared" si="3"/>
        <v>-491.47280000000001</v>
      </c>
      <c r="G13" s="30">
        <f t="shared" si="4"/>
        <v>1.6300000000000002E-2</v>
      </c>
      <c r="H13" s="29">
        <f t="shared" si="5"/>
        <v>391.3</v>
      </c>
      <c r="I13" s="29">
        <f t="shared" si="6"/>
        <v>491.47280000000001</v>
      </c>
      <c r="J13" s="31">
        <f t="shared" si="11"/>
        <v>0.41596638655462187</v>
      </c>
      <c r="K13" s="29">
        <f t="shared" si="7"/>
        <v>121.00694444444441</v>
      </c>
      <c r="L13" s="29">
        <f t="shared" si="8"/>
        <v>152.35656800000001</v>
      </c>
      <c r="M13" s="29">
        <f t="shared" si="9"/>
        <v>152.35656800000001</v>
      </c>
      <c r="N13" s="32">
        <f t="shared" si="12"/>
        <v>-401.3888888888888</v>
      </c>
      <c r="O13" s="33">
        <f t="shared" si="13"/>
        <v>425.72008044444442</v>
      </c>
    </row>
    <row r="14" spans="1:18" x14ac:dyDescent="0.25">
      <c r="A14" s="52">
        <f>3*hSez/12</f>
        <v>17.5</v>
      </c>
      <c r="B14" s="28">
        <f t="shared" si="10"/>
        <v>0.80952380952380953</v>
      </c>
      <c r="C14" s="29">
        <f t="shared" si="0"/>
        <v>-602.08333333333326</v>
      </c>
      <c r="D14" s="30">
        <f t="shared" si="1"/>
        <v>-2.7000000000000001E-3</v>
      </c>
      <c r="E14" s="29">
        <f t="shared" si="2"/>
        <v>-391.3</v>
      </c>
      <c r="F14" s="29">
        <f t="shared" si="3"/>
        <v>-491.47280000000001</v>
      </c>
      <c r="G14" s="30">
        <f t="shared" si="4"/>
        <v>9.7000000000000003E-3</v>
      </c>
      <c r="H14" s="29">
        <f t="shared" si="5"/>
        <v>391.3</v>
      </c>
      <c r="I14" s="29">
        <f t="shared" si="6"/>
        <v>491.47280000000001</v>
      </c>
      <c r="J14" s="31">
        <f t="shared" si="11"/>
        <v>0.41596638655462187</v>
      </c>
      <c r="K14" s="29">
        <f t="shared" si="7"/>
        <v>166.90104166666663</v>
      </c>
      <c r="L14" s="29">
        <f t="shared" si="8"/>
        <v>152.35656800000001</v>
      </c>
      <c r="M14" s="29">
        <f t="shared" si="9"/>
        <v>152.35656800000001</v>
      </c>
      <c r="N14" s="32">
        <f t="shared" si="12"/>
        <v>-602.08333333333326</v>
      </c>
      <c r="O14" s="33">
        <f t="shared" si="13"/>
        <v>471.61417766666671</v>
      </c>
    </row>
    <row r="15" spans="1:18" x14ac:dyDescent="0.25">
      <c r="A15" s="52">
        <f>4*hSez/12</f>
        <v>23.333333333333332</v>
      </c>
      <c r="B15" s="28">
        <f t="shared" si="10"/>
        <v>0.80952380952380953</v>
      </c>
      <c r="C15" s="29">
        <f t="shared" si="0"/>
        <v>-802.7777777777776</v>
      </c>
      <c r="D15" s="30">
        <f t="shared" si="1"/>
        <v>-2.8999999999999998E-3</v>
      </c>
      <c r="E15" s="29">
        <f t="shared" si="2"/>
        <v>-391.3</v>
      </c>
      <c r="F15" s="29">
        <f t="shared" si="3"/>
        <v>-491.47280000000001</v>
      </c>
      <c r="G15" s="30">
        <f t="shared" si="4"/>
        <v>6.4000000000000012E-3</v>
      </c>
      <c r="H15" s="29">
        <f t="shared" si="5"/>
        <v>391.3</v>
      </c>
      <c r="I15" s="29">
        <f t="shared" si="6"/>
        <v>491.47280000000001</v>
      </c>
      <c r="J15" s="31">
        <f t="shared" si="11"/>
        <v>0.41596638655462187</v>
      </c>
      <c r="K15" s="29">
        <f t="shared" si="7"/>
        <v>203.05555555555554</v>
      </c>
      <c r="L15" s="29">
        <f t="shared" si="8"/>
        <v>152.35656800000001</v>
      </c>
      <c r="M15" s="29">
        <f t="shared" si="9"/>
        <v>152.35656800000001</v>
      </c>
      <c r="N15" s="32">
        <f t="shared" si="12"/>
        <v>-802.7777777777776</v>
      </c>
      <c r="O15" s="33">
        <f t="shared" si="13"/>
        <v>507.76869155555562</v>
      </c>
    </row>
    <row r="16" spans="1:18" x14ac:dyDescent="0.25">
      <c r="A16" s="52">
        <f>5*hSez/12</f>
        <v>29.166666666666668</v>
      </c>
      <c r="B16" s="28">
        <f t="shared" si="10"/>
        <v>0.80952380952380953</v>
      </c>
      <c r="C16" s="29">
        <f t="shared" si="0"/>
        <v>-1003.4722222222223</v>
      </c>
      <c r="D16" s="30">
        <f t="shared" si="1"/>
        <v>-3.0200000000000001E-3</v>
      </c>
      <c r="E16" s="29">
        <f t="shared" si="2"/>
        <v>-391.3</v>
      </c>
      <c r="F16" s="29">
        <f t="shared" si="3"/>
        <v>-491.47280000000001</v>
      </c>
      <c r="G16" s="30">
        <f t="shared" si="4"/>
        <v>4.4199999999999995E-3</v>
      </c>
      <c r="H16" s="29">
        <f t="shared" si="5"/>
        <v>391.3</v>
      </c>
      <c r="I16" s="29">
        <f t="shared" si="6"/>
        <v>491.47280000000001</v>
      </c>
      <c r="J16" s="31">
        <f t="shared" si="11"/>
        <v>0.41596638655462187</v>
      </c>
      <c r="K16" s="29">
        <f t="shared" si="7"/>
        <v>229.47048611111114</v>
      </c>
      <c r="L16" s="29">
        <f t="shared" si="8"/>
        <v>152.35656800000001</v>
      </c>
      <c r="M16" s="29">
        <f t="shared" si="9"/>
        <v>152.35656800000001</v>
      </c>
      <c r="N16" s="32">
        <f t="shared" si="12"/>
        <v>-1003.4722222222222</v>
      </c>
      <c r="O16" s="33">
        <f t="shared" si="13"/>
        <v>534.18362211111116</v>
      </c>
    </row>
    <row r="17" spans="1:17" x14ac:dyDescent="0.25">
      <c r="A17" s="52">
        <f>6*hSez/12</f>
        <v>35</v>
      </c>
      <c r="B17" s="28">
        <f t="shared" si="10"/>
        <v>0.80952380952380953</v>
      </c>
      <c r="C17" s="29">
        <f t="shared" si="0"/>
        <v>-1204.1666666666665</v>
      </c>
      <c r="D17" s="30">
        <f t="shared" si="1"/>
        <v>-3.0999999999999999E-3</v>
      </c>
      <c r="E17" s="29">
        <f t="shared" si="2"/>
        <v>-391.3</v>
      </c>
      <c r="F17" s="29">
        <f t="shared" si="3"/>
        <v>-491.47280000000001</v>
      </c>
      <c r="G17" s="30">
        <f t="shared" si="4"/>
        <v>3.0999999999999999E-3</v>
      </c>
      <c r="H17" s="29">
        <f t="shared" si="5"/>
        <v>391.3</v>
      </c>
      <c r="I17" s="29">
        <f t="shared" si="6"/>
        <v>491.47280000000001</v>
      </c>
      <c r="J17" s="31">
        <f t="shared" si="11"/>
        <v>0.41596638655462187</v>
      </c>
      <c r="K17" s="29">
        <f t="shared" si="7"/>
        <v>246.14583333333326</v>
      </c>
      <c r="L17" s="29">
        <f t="shared" si="8"/>
        <v>152.35656800000001</v>
      </c>
      <c r="M17" s="29">
        <f t="shared" si="9"/>
        <v>152.35656800000001</v>
      </c>
      <c r="N17" s="32">
        <f t="shared" si="12"/>
        <v>-1204.1666666666665</v>
      </c>
      <c r="O17" s="33">
        <f t="shared" si="13"/>
        <v>550.85896933333333</v>
      </c>
    </row>
    <row r="18" spans="1:17" x14ac:dyDescent="0.25">
      <c r="A18" s="52">
        <f>7*hSez/12</f>
        <v>40.833333333333336</v>
      </c>
      <c r="B18" s="28">
        <f t="shared" si="10"/>
        <v>0.80952380952380953</v>
      </c>
      <c r="C18" s="29">
        <f t="shared" si="0"/>
        <v>-1404.8611111111109</v>
      </c>
      <c r="D18" s="30">
        <f t="shared" si="1"/>
        <v>-3.1571428571428575E-3</v>
      </c>
      <c r="E18" s="29">
        <f t="shared" si="2"/>
        <v>-391.3</v>
      </c>
      <c r="F18" s="29">
        <f t="shared" si="3"/>
        <v>-491.47280000000001</v>
      </c>
      <c r="G18" s="30">
        <f t="shared" si="4"/>
        <v>2.157142857142857E-3</v>
      </c>
      <c r="H18" s="29">
        <f t="shared" si="5"/>
        <v>391.3</v>
      </c>
      <c r="I18" s="29">
        <f t="shared" si="6"/>
        <v>491.47280000000001</v>
      </c>
      <c r="J18" s="31">
        <f t="shared" si="11"/>
        <v>0.41596638655462187</v>
      </c>
      <c r="K18" s="29">
        <f t="shared" si="7"/>
        <v>253.08159722222214</v>
      </c>
      <c r="L18" s="29">
        <f t="shared" si="8"/>
        <v>152.35656800000001</v>
      </c>
      <c r="M18" s="29">
        <f t="shared" si="9"/>
        <v>152.35656800000001</v>
      </c>
      <c r="N18" s="32">
        <f t="shared" si="12"/>
        <v>-1404.8611111111109</v>
      </c>
      <c r="O18" s="33">
        <f t="shared" si="13"/>
        <v>557.79473322222213</v>
      </c>
    </row>
    <row r="19" spans="1:17" x14ac:dyDescent="0.25">
      <c r="A19" s="52">
        <f>8*hSez/12</f>
        <v>46.666666666666664</v>
      </c>
      <c r="B19" s="28">
        <f t="shared" si="10"/>
        <v>0.80952380952380953</v>
      </c>
      <c r="C19" s="29">
        <f t="shared" si="0"/>
        <v>-1605.5555555555552</v>
      </c>
      <c r="D19" s="30">
        <f t="shared" si="1"/>
        <v>-3.2000000000000002E-3</v>
      </c>
      <c r="E19" s="29">
        <f t="shared" si="2"/>
        <v>-391.3</v>
      </c>
      <c r="F19" s="29">
        <f t="shared" si="3"/>
        <v>-491.47280000000001</v>
      </c>
      <c r="G19" s="30">
        <f t="shared" si="4"/>
        <v>1.4500000000000003E-3</v>
      </c>
      <c r="H19" s="29">
        <f t="shared" si="5"/>
        <v>290.00000000000006</v>
      </c>
      <c r="I19" s="29">
        <f t="shared" si="6"/>
        <v>364.24000000000012</v>
      </c>
      <c r="J19" s="31">
        <f t="shared" si="11"/>
        <v>0.41596638655462187</v>
      </c>
      <c r="K19" s="29">
        <f t="shared" si="7"/>
        <v>250.27777777777774</v>
      </c>
      <c r="L19" s="29">
        <f t="shared" si="8"/>
        <v>152.35656800000001</v>
      </c>
      <c r="M19" s="29">
        <f t="shared" si="9"/>
        <v>112.91440000000004</v>
      </c>
      <c r="N19" s="32">
        <f t="shared" si="12"/>
        <v>-1732.788355555555</v>
      </c>
      <c r="O19" s="33">
        <f t="shared" si="13"/>
        <v>515.54874577777775</v>
      </c>
    </row>
    <row r="20" spans="1:17" x14ac:dyDescent="0.25">
      <c r="A20" s="52">
        <f>9*hSez/12</f>
        <v>52.5</v>
      </c>
      <c r="B20" s="28">
        <f t="shared" si="10"/>
        <v>0.80952380952380953</v>
      </c>
      <c r="C20" s="29">
        <f t="shared" si="0"/>
        <v>-1806.25</v>
      </c>
      <c r="D20" s="30">
        <f t="shared" si="1"/>
        <v>-3.2333333333333337E-3</v>
      </c>
      <c r="E20" s="29">
        <f t="shared" si="2"/>
        <v>-391.3</v>
      </c>
      <c r="F20" s="29">
        <f t="shared" si="3"/>
        <v>-491.47280000000001</v>
      </c>
      <c r="G20" s="30">
        <f t="shared" si="4"/>
        <v>8.9999999999999998E-4</v>
      </c>
      <c r="H20" s="29">
        <f t="shared" si="5"/>
        <v>180</v>
      </c>
      <c r="I20" s="29">
        <f t="shared" si="6"/>
        <v>226.08</v>
      </c>
      <c r="J20" s="31">
        <f t="shared" si="11"/>
        <v>0.41596638655462187</v>
      </c>
      <c r="K20" s="29">
        <f t="shared" si="7"/>
        <v>237.73437499999997</v>
      </c>
      <c r="L20" s="29">
        <f t="shared" si="8"/>
        <v>152.35656800000001</v>
      </c>
      <c r="M20" s="29">
        <f t="shared" si="9"/>
        <v>70.084800000000001</v>
      </c>
      <c r="N20" s="32">
        <f t="shared" si="12"/>
        <v>-2071.6428000000001</v>
      </c>
      <c r="O20" s="33">
        <f t="shared" si="13"/>
        <v>460.17574300000001</v>
      </c>
    </row>
    <row r="21" spans="1:17" x14ac:dyDescent="0.25">
      <c r="A21" s="52">
        <f>10*hSez/12</f>
        <v>58.333333333333336</v>
      </c>
      <c r="B21" s="28">
        <f t="shared" si="10"/>
        <v>0.80952380952380953</v>
      </c>
      <c r="C21" s="29">
        <f t="shared" si="0"/>
        <v>-2006.9444444444446</v>
      </c>
      <c r="D21" s="30">
        <f t="shared" si="1"/>
        <v>-3.2599999999999999E-3</v>
      </c>
      <c r="E21" s="29">
        <f t="shared" si="2"/>
        <v>-391.3</v>
      </c>
      <c r="F21" s="29">
        <f t="shared" si="3"/>
        <v>-491.47280000000001</v>
      </c>
      <c r="G21" s="30">
        <f t="shared" si="4"/>
        <v>4.5999999999999991E-4</v>
      </c>
      <c r="H21" s="29">
        <f t="shared" si="5"/>
        <v>91.999999999999986</v>
      </c>
      <c r="I21" s="29">
        <f t="shared" si="6"/>
        <v>115.55199999999998</v>
      </c>
      <c r="J21" s="31">
        <f t="shared" si="11"/>
        <v>0.41596638655462187</v>
      </c>
      <c r="K21" s="29">
        <f t="shared" si="7"/>
        <v>215.45138888888886</v>
      </c>
      <c r="L21" s="29">
        <f t="shared" si="8"/>
        <v>152.35656800000001</v>
      </c>
      <c r="M21" s="29">
        <f t="shared" si="9"/>
        <v>35.821119999999993</v>
      </c>
      <c r="N21" s="32">
        <f t="shared" si="12"/>
        <v>-2382.8652444444447</v>
      </c>
      <c r="O21" s="33">
        <f t="shared" si="13"/>
        <v>403.62907688888885</v>
      </c>
    </row>
    <row r="22" spans="1:17" x14ac:dyDescent="0.25">
      <c r="A22" s="52">
        <f>11*hSez/12</f>
        <v>64.166666666666671</v>
      </c>
      <c r="B22" s="28">
        <f t="shared" si="10"/>
        <v>0.80952380952380953</v>
      </c>
      <c r="C22" s="29">
        <f t="shared" si="0"/>
        <v>-2207.6388888888891</v>
      </c>
      <c r="D22" s="30">
        <f t="shared" si="1"/>
        <v>-3.2818181818181818E-3</v>
      </c>
      <c r="E22" s="29">
        <f t="shared" si="2"/>
        <v>-391.3</v>
      </c>
      <c r="F22" s="29">
        <f t="shared" si="3"/>
        <v>-491.47280000000001</v>
      </c>
      <c r="G22" s="30">
        <f t="shared" si="4"/>
        <v>9.9999999999999734E-5</v>
      </c>
      <c r="H22" s="29">
        <f t="shared" si="5"/>
        <v>19.999999999999947</v>
      </c>
      <c r="I22" s="29">
        <f t="shared" si="6"/>
        <v>25.119999999999933</v>
      </c>
      <c r="J22" s="31">
        <f t="shared" si="11"/>
        <v>0.41596638655462187</v>
      </c>
      <c r="K22" s="29">
        <f t="shared" si="7"/>
        <v>183.42881944444437</v>
      </c>
      <c r="L22" s="29">
        <f t="shared" si="8"/>
        <v>152.35656800000001</v>
      </c>
      <c r="M22" s="29">
        <f t="shared" si="9"/>
        <v>7.7871999999999799</v>
      </c>
      <c r="N22" s="32">
        <f t="shared" si="12"/>
        <v>-2673.9916888888893</v>
      </c>
      <c r="O22" s="33">
        <f t="shared" si="13"/>
        <v>343.57258744444437</v>
      </c>
    </row>
    <row r="23" spans="1:17" ht="15.75" thickBot="1" x14ac:dyDescent="0.3">
      <c r="A23" s="53">
        <f>12*hSez/12</f>
        <v>70</v>
      </c>
      <c r="B23" s="35">
        <f t="shared" si="10"/>
        <v>0.80952380952380953</v>
      </c>
      <c r="C23" s="36">
        <f t="shared" si="0"/>
        <v>-2408.333333333333</v>
      </c>
      <c r="D23" s="37">
        <f t="shared" si="1"/>
        <v>-3.3E-3</v>
      </c>
      <c r="E23" s="36">
        <f t="shared" si="2"/>
        <v>-391.3</v>
      </c>
      <c r="F23" s="36">
        <f t="shared" si="3"/>
        <v>-491.47280000000001</v>
      </c>
      <c r="G23" s="37">
        <f t="shared" si="4"/>
        <v>-2.0000000000000001E-4</v>
      </c>
      <c r="H23" s="36">
        <f t="shared" si="5"/>
        <v>-40</v>
      </c>
      <c r="I23" s="36">
        <f t="shared" si="6"/>
        <v>-50.24</v>
      </c>
      <c r="J23" s="38">
        <f t="shared" si="11"/>
        <v>0.41596638655462187</v>
      </c>
      <c r="K23" s="36">
        <f t="shared" si="7"/>
        <v>141.66666666666657</v>
      </c>
      <c r="L23" s="36">
        <f t="shared" si="8"/>
        <v>152.35656800000001</v>
      </c>
      <c r="M23" s="36">
        <f t="shared" si="9"/>
        <v>-15.574400000000001</v>
      </c>
      <c r="N23" s="39">
        <f t="shared" si="12"/>
        <v>-2950.0461333333328</v>
      </c>
      <c r="O23" s="40">
        <f t="shared" si="13"/>
        <v>278.44883466666653</v>
      </c>
      <c r="Q23" t="s">
        <v>10</v>
      </c>
    </row>
    <row r="24" spans="1:17" x14ac:dyDescent="0.25">
      <c r="A24" s="1">
        <v>0</v>
      </c>
      <c r="B24" s="2">
        <f>1-4/21*(1-A24)^2</f>
        <v>0.80952380952380953</v>
      </c>
      <c r="C24" s="3">
        <f t="shared" ref="C24:C34" si="14">-B24*bSez*hSez*fcd/10</f>
        <v>-2408.333333333333</v>
      </c>
      <c r="D24" s="4">
        <f t="shared" ref="D24:D34" si="15">-EpsC2*(dSez/(4/7*hSez)*(1-A24)+A24)</f>
        <v>-3.3E-3</v>
      </c>
      <c r="E24" s="3">
        <f t="shared" si="2"/>
        <v>-391.3</v>
      </c>
      <c r="F24" s="3">
        <f t="shared" si="3"/>
        <v>-491.47280000000001</v>
      </c>
      <c r="G24" s="4">
        <f t="shared" ref="G24:G34" si="16">-EpsC2*(cf/(4/7*hSez)*(1-A24)+A24)</f>
        <v>-2.0000000000000001E-4</v>
      </c>
      <c r="H24" s="3">
        <f t="shared" si="5"/>
        <v>-40</v>
      </c>
      <c r="I24" s="3">
        <f t="shared" si="6"/>
        <v>-50.24</v>
      </c>
      <c r="J24" s="5">
        <f>1/2*((1-16/49*(1-A24)^2)/(1-4/21*(1-A24)^2))</f>
        <v>0.41596638655462187</v>
      </c>
      <c r="K24" s="3">
        <f t="shared" ref="K24:K34" si="17">-C24*(hSez/2-J24*hSez)/10^2</f>
        <v>141.66666666666657</v>
      </c>
      <c r="L24" s="3">
        <f t="shared" si="8"/>
        <v>152.35656800000001</v>
      </c>
      <c r="M24" s="3">
        <f t="shared" si="9"/>
        <v>-15.574400000000001</v>
      </c>
      <c r="N24" s="6">
        <f t="shared" si="12"/>
        <v>-2950.0461333333328</v>
      </c>
      <c r="O24" s="7">
        <f>K24+L24+M24</f>
        <v>278.44883466666653</v>
      </c>
      <c r="Q24" t="s">
        <v>10</v>
      </c>
    </row>
    <row r="25" spans="1:17" x14ac:dyDescent="0.25">
      <c r="A25" s="8">
        <v>0.1</v>
      </c>
      <c r="B25" s="9">
        <f t="shared" ref="B25:B34" si="18">1-4/21*(1-A25)^2</f>
        <v>0.84571428571428575</v>
      </c>
      <c r="C25" s="10">
        <f t="shared" si="14"/>
        <v>-2516.0000000000005</v>
      </c>
      <c r="D25" s="11">
        <f t="shared" si="15"/>
        <v>-3.1700000000000001E-3</v>
      </c>
      <c r="E25" s="10">
        <f t="shared" si="2"/>
        <v>-391.3</v>
      </c>
      <c r="F25" s="10">
        <f t="shared" si="3"/>
        <v>-491.47280000000001</v>
      </c>
      <c r="G25" s="11">
        <f t="shared" si="16"/>
        <v>-3.8000000000000002E-4</v>
      </c>
      <c r="H25" s="10">
        <f t="shared" si="5"/>
        <v>-76.000000000000014</v>
      </c>
      <c r="I25" s="10">
        <f t="shared" si="6"/>
        <v>-95.456000000000017</v>
      </c>
      <c r="J25" s="12">
        <f t="shared" ref="J25:J34" si="19">1/2*((1-16/49*(1-A25)^2)/(1-4/21*(1-A25)^2))</f>
        <v>0.43484555984555978</v>
      </c>
      <c r="K25" s="10">
        <f t="shared" si="17"/>
        <v>114.75000000000011</v>
      </c>
      <c r="L25" s="10">
        <f t="shared" si="8"/>
        <v>152.35656800000001</v>
      </c>
      <c r="M25" s="10">
        <f t="shared" si="9"/>
        <v>-29.591360000000005</v>
      </c>
      <c r="N25" s="13">
        <f t="shared" ref="N25:N34" si="20">C25+F25+I25</f>
        <v>-3102.9288000000006</v>
      </c>
      <c r="O25" s="14">
        <f t="shared" ref="O25:O35" si="21">K25+L25+M25</f>
        <v>237.51520800000014</v>
      </c>
    </row>
    <row r="26" spans="1:17" x14ac:dyDescent="0.25">
      <c r="A26" s="8">
        <v>0.2</v>
      </c>
      <c r="B26" s="9">
        <f t="shared" si="18"/>
        <v>0.87809523809523804</v>
      </c>
      <c r="C26" s="10">
        <f t="shared" si="14"/>
        <v>-2612.333333333333</v>
      </c>
      <c r="D26" s="11">
        <f t="shared" si="15"/>
        <v>-3.0400000000000002E-3</v>
      </c>
      <c r="E26" s="10">
        <f t="shared" si="2"/>
        <v>-391.3</v>
      </c>
      <c r="F26" s="10">
        <f t="shared" si="3"/>
        <v>-491.47280000000001</v>
      </c>
      <c r="G26" s="11">
        <f t="shared" si="16"/>
        <v>-5.6000000000000006E-4</v>
      </c>
      <c r="H26" s="10">
        <f t="shared" si="5"/>
        <v>-112.00000000000001</v>
      </c>
      <c r="I26" s="10">
        <f t="shared" si="6"/>
        <v>-140.67200000000003</v>
      </c>
      <c r="J26" s="12">
        <f t="shared" si="19"/>
        <v>0.45041834521227148</v>
      </c>
      <c r="K26" s="10">
        <f t="shared" si="17"/>
        <v>90.666666666666629</v>
      </c>
      <c r="L26" s="10">
        <f t="shared" si="8"/>
        <v>152.35656800000001</v>
      </c>
      <c r="M26" s="10">
        <f t="shared" si="9"/>
        <v>-43.608320000000006</v>
      </c>
      <c r="N26" s="13">
        <f t="shared" si="20"/>
        <v>-3244.4781333333331</v>
      </c>
      <c r="O26" s="14">
        <f t="shared" si="21"/>
        <v>199.41491466666662</v>
      </c>
    </row>
    <row r="27" spans="1:17" x14ac:dyDescent="0.25">
      <c r="A27" s="8">
        <v>0.3</v>
      </c>
      <c r="B27" s="9">
        <f t="shared" si="18"/>
        <v>0.90666666666666673</v>
      </c>
      <c r="C27" s="10">
        <f t="shared" si="14"/>
        <v>-2697.3333333333335</v>
      </c>
      <c r="D27" s="11">
        <f t="shared" si="15"/>
        <v>-2.9099999999999998E-3</v>
      </c>
      <c r="E27" s="10">
        <f t="shared" si="2"/>
        <v>-391.3</v>
      </c>
      <c r="F27" s="10">
        <f t="shared" si="3"/>
        <v>-491.47280000000001</v>
      </c>
      <c r="G27" s="11">
        <f t="shared" si="16"/>
        <v>-7.3999999999999999E-4</v>
      </c>
      <c r="H27" s="10">
        <f t="shared" si="5"/>
        <v>-148.00000000000003</v>
      </c>
      <c r="I27" s="10">
        <f t="shared" si="6"/>
        <v>-185.88800000000003</v>
      </c>
      <c r="J27" s="12">
        <f t="shared" si="19"/>
        <v>0.46323529411764708</v>
      </c>
      <c r="K27" s="10">
        <f t="shared" si="17"/>
        <v>69.416666666666586</v>
      </c>
      <c r="L27" s="10">
        <f t="shared" si="8"/>
        <v>152.35656800000001</v>
      </c>
      <c r="M27" s="10">
        <f t="shared" si="9"/>
        <v>-57.625280000000011</v>
      </c>
      <c r="N27" s="13">
        <f t="shared" si="20"/>
        <v>-3374.6941333333334</v>
      </c>
      <c r="O27" s="14">
        <f t="shared" si="21"/>
        <v>164.14795466666661</v>
      </c>
    </row>
    <row r="28" spans="1:17" x14ac:dyDescent="0.25">
      <c r="A28" s="8">
        <v>0.4</v>
      </c>
      <c r="B28" s="9">
        <f t="shared" si="18"/>
        <v>0.93142857142857149</v>
      </c>
      <c r="C28" s="10">
        <f t="shared" si="14"/>
        <v>-2771</v>
      </c>
      <c r="D28" s="11">
        <f t="shared" si="15"/>
        <v>-2.7799999999999999E-3</v>
      </c>
      <c r="E28" s="10">
        <f t="shared" si="2"/>
        <v>-391.3</v>
      </c>
      <c r="F28" s="10">
        <f t="shared" si="3"/>
        <v>-491.47280000000001</v>
      </c>
      <c r="G28" s="11">
        <f t="shared" si="16"/>
        <v>-9.2000000000000003E-4</v>
      </c>
      <c r="H28" s="10">
        <f t="shared" si="5"/>
        <v>-184.00000000000003</v>
      </c>
      <c r="I28" s="10">
        <f t="shared" si="6"/>
        <v>-231.10400000000004</v>
      </c>
      <c r="J28" s="12">
        <f t="shared" si="19"/>
        <v>0.47370727432077125</v>
      </c>
      <c r="K28" s="10">
        <f t="shared" si="17"/>
        <v>50.999999999999957</v>
      </c>
      <c r="L28" s="10">
        <f t="shared" si="8"/>
        <v>152.35656800000001</v>
      </c>
      <c r="M28" s="10">
        <f t="shared" si="9"/>
        <v>-71.642240000000015</v>
      </c>
      <c r="N28" s="13">
        <f t="shared" si="20"/>
        <v>-3493.5767999999998</v>
      </c>
      <c r="O28" s="14">
        <f t="shared" si="21"/>
        <v>131.71432799999997</v>
      </c>
    </row>
    <row r="29" spans="1:17" x14ac:dyDescent="0.25">
      <c r="A29" s="8">
        <v>0.5</v>
      </c>
      <c r="B29" s="9">
        <f t="shared" si="18"/>
        <v>0.95238095238095233</v>
      </c>
      <c r="C29" s="10">
        <f t="shared" si="14"/>
        <v>-2833.333333333333</v>
      </c>
      <c r="D29" s="11">
        <f t="shared" si="15"/>
        <v>-2.65E-3</v>
      </c>
      <c r="E29" s="10">
        <f t="shared" si="2"/>
        <v>-391.3</v>
      </c>
      <c r="F29" s="10">
        <f t="shared" si="3"/>
        <v>-491.47280000000001</v>
      </c>
      <c r="G29" s="11">
        <f t="shared" si="16"/>
        <v>-1.1000000000000001E-3</v>
      </c>
      <c r="H29" s="10">
        <f t="shared" si="5"/>
        <v>-220</v>
      </c>
      <c r="I29" s="10">
        <f t="shared" si="6"/>
        <v>-276.32000000000005</v>
      </c>
      <c r="J29" s="12">
        <f t="shared" si="19"/>
        <v>0.48214285714285721</v>
      </c>
      <c r="K29" s="10">
        <f t="shared" si="17"/>
        <v>35.416666666666458</v>
      </c>
      <c r="L29" s="10">
        <f t="shared" si="8"/>
        <v>152.35656800000001</v>
      </c>
      <c r="M29" s="10">
        <f t="shared" si="9"/>
        <v>-85.659200000000013</v>
      </c>
      <c r="N29" s="13">
        <f t="shared" si="20"/>
        <v>-3601.1261333333332</v>
      </c>
      <c r="O29" s="14">
        <f t="shared" si="21"/>
        <v>102.11403466666646</v>
      </c>
    </row>
    <row r="30" spans="1:17" x14ac:dyDescent="0.25">
      <c r="A30" s="8">
        <v>0.6</v>
      </c>
      <c r="B30" s="9">
        <f t="shared" si="18"/>
        <v>0.96952380952380957</v>
      </c>
      <c r="C30" s="10">
        <f t="shared" si="14"/>
        <v>-2884.333333333333</v>
      </c>
      <c r="D30" s="11">
        <f t="shared" si="15"/>
        <v>-2.5200000000000001E-3</v>
      </c>
      <c r="E30" s="10">
        <f t="shared" si="2"/>
        <v>-391.3</v>
      </c>
      <c r="F30" s="10">
        <f t="shared" si="3"/>
        <v>-491.47280000000001</v>
      </c>
      <c r="G30" s="11">
        <f t="shared" si="16"/>
        <v>-1.2800000000000001E-3</v>
      </c>
      <c r="H30" s="10">
        <f t="shared" si="5"/>
        <v>-256.00000000000006</v>
      </c>
      <c r="I30" s="10">
        <f t="shared" si="6"/>
        <v>-321.53600000000012</v>
      </c>
      <c r="J30" s="12">
        <f t="shared" si="19"/>
        <v>0.48877350547291609</v>
      </c>
      <c r="K30" s="10">
        <f t="shared" si="17"/>
        <v>22.666666666666696</v>
      </c>
      <c r="L30" s="10">
        <f t="shared" si="8"/>
        <v>152.35656800000001</v>
      </c>
      <c r="M30" s="10">
        <f t="shared" si="9"/>
        <v>-99.676160000000039</v>
      </c>
      <c r="N30" s="13">
        <f t="shared" si="20"/>
        <v>-3697.3421333333331</v>
      </c>
      <c r="O30" s="14">
        <f t="shared" si="21"/>
        <v>75.347074666666657</v>
      </c>
    </row>
    <row r="31" spans="1:17" x14ac:dyDescent="0.25">
      <c r="A31" s="8">
        <v>0.7</v>
      </c>
      <c r="B31" s="9">
        <f t="shared" si="18"/>
        <v>0.98285714285714287</v>
      </c>
      <c r="C31" s="10">
        <f t="shared" si="14"/>
        <v>-2924</v>
      </c>
      <c r="D31" s="11">
        <f t="shared" si="15"/>
        <v>-2.3900000000000002E-3</v>
      </c>
      <c r="E31" s="10">
        <f t="shared" si="2"/>
        <v>-391.3</v>
      </c>
      <c r="F31" s="10">
        <f t="shared" si="3"/>
        <v>-491.47280000000001</v>
      </c>
      <c r="G31" s="11">
        <f t="shared" si="16"/>
        <v>-1.4599999999999999E-3</v>
      </c>
      <c r="H31" s="10">
        <f t="shared" si="5"/>
        <v>-292</v>
      </c>
      <c r="I31" s="10">
        <f t="shared" si="6"/>
        <v>-366.75200000000001</v>
      </c>
      <c r="J31" s="12">
        <f t="shared" si="19"/>
        <v>0.4937707641196013</v>
      </c>
      <c r="K31" s="10">
        <f t="shared" si="17"/>
        <v>12.750000000000009</v>
      </c>
      <c r="L31" s="10">
        <f t="shared" si="8"/>
        <v>152.35656800000001</v>
      </c>
      <c r="M31" s="10">
        <f t="shared" si="9"/>
        <v>-113.69311999999999</v>
      </c>
      <c r="N31" s="13">
        <f t="shared" si="20"/>
        <v>-3782.2248</v>
      </c>
      <c r="O31" s="14">
        <f t="shared" si="21"/>
        <v>51.413448000000017</v>
      </c>
    </row>
    <row r="32" spans="1:17" x14ac:dyDescent="0.25">
      <c r="A32" s="8">
        <v>0.8</v>
      </c>
      <c r="B32" s="9">
        <f t="shared" si="18"/>
        <v>0.99238095238095236</v>
      </c>
      <c r="C32" s="10">
        <f t="shared" si="14"/>
        <v>-2952.333333333333</v>
      </c>
      <c r="D32" s="11">
        <f t="shared" si="15"/>
        <v>-2.2599999999999999E-3</v>
      </c>
      <c r="E32" s="10">
        <f t="shared" si="2"/>
        <v>-391.3</v>
      </c>
      <c r="F32" s="10">
        <f t="shared" si="3"/>
        <v>-491.47280000000001</v>
      </c>
      <c r="G32" s="11">
        <f t="shared" si="16"/>
        <v>-1.6400000000000002E-3</v>
      </c>
      <c r="H32" s="10">
        <f t="shared" si="5"/>
        <v>-328.00000000000006</v>
      </c>
      <c r="I32" s="10">
        <f t="shared" si="6"/>
        <v>-411.96800000000013</v>
      </c>
      <c r="J32" s="12">
        <f t="shared" si="19"/>
        <v>0.49725802029064986</v>
      </c>
      <c r="K32" s="10">
        <f t="shared" si="17"/>
        <v>5.6666666666666927</v>
      </c>
      <c r="L32" s="10">
        <f t="shared" si="8"/>
        <v>152.35656800000001</v>
      </c>
      <c r="M32" s="10">
        <f t="shared" si="9"/>
        <v>-127.71008000000003</v>
      </c>
      <c r="N32" s="13">
        <f t="shared" si="20"/>
        <v>-3855.7741333333333</v>
      </c>
      <c r="O32" s="14">
        <f>K32+L32+M32</f>
        <v>30.313154666666662</v>
      </c>
    </row>
    <row r="33" spans="1:17" x14ac:dyDescent="0.25">
      <c r="A33" s="8">
        <v>0.9</v>
      </c>
      <c r="B33" s="9">
        <f t="shared" si="18"/>
        <v>0.99809523809523815</v>
      </c>
      <c r="C33" s="10">
        <f t="shared" si="14"/>
        <v>-2969.333333333333</v>
      </c>
      <c r="D33" s="11">
        <f t="shared" si="15"/>
        <v>-2.1299999999999999E-3</v>
      </c>
      <c r="E33" s="10">
        <f t="shared" si="2"/>
        <v>-391.3</v>
      </c>
      <c r="F33" s="10">
        <f t="shared" si="3"/>
        <v>-491.47280000000001</v>
      </c>
      <c r="G33" s="11">
        <f t="shared" si="16"/>
        <v>-1.82E-3</v>
      </c>
      <c r="H33" s="10">
        <f t="shared" si="5"/>
        <v>-364.00000000000006</v>
      </c>
      <c r="I33" s="10">
        <f t="shared" si="6"/>
        <v>-457.18400000000008</v>
      </c>
      <c r="J33" s="12">
        <f t="shared" si="19"/>
        <v>0.49931842966194107</v>
      </c>
      <c r="K33" s="10">
        <f t="shared" si="17"/>
        <v>1.4166666666666714</v>
      </c>
      <c r="L33" s="10">
        <f t="shared" si="8"/>
        <v>152.35656800000001</v>
      </c>
      <c r="M33" s="10">
        <f t="shared" si="9"/>
        <v>-141.72704000000004</v>
      </c>
      <c r="N33" s="13">
        <f t="shared" si="20"/>
        <v>-3917.9901333333332</v>
      </c>
      <c r="O33" s="14">
        <f t="shared" si="21"/>
        <v>12.046194666666622</v>
      </c>
    </row>
    <row r="34" spans="1:17" ht="15.75" thickBot="1" x14ac:dyDescent="0.3">
      <c r="A34" s="15">
        <v>1</v>
      </c>
      <c r="B34" s="16">
        <f t="shared" si="18"/>
        <v>1</v>
      </c>
      <c r="C34" s="17">
        <f t="shared" si="14"/>
        <v>-2975</v>
      </c>
      <c r="D34" s="18">
        <f t="shared" si="15"/>
        <v>-2E-3</v>
      </c>
      <c r="E34" s="17">
        <f t="shared" si="2"/>
        <v>-391.3</v>
      </c>
      <c r="F34" s="17">
        <f t="shared" si="3"/>
        <v>-491.47280000000001</v>
      </c>
      <c r="G34" s="18">
        <f t="shared" si="16"/>
        <v>-2E-3</v>
      </c>
      <c r="H34" s="17">
        <f t="shared" si="5"/>
        <v>-391.3</v>
      </c>
      <c r="I34" s="17">
        <f t="shared" si="6"/>
        <v>-491.47280000000001</v>
      </c>
      <c r="J34" s="19">
        <f t="shared" si="19"/>
        <v>0.5</v>
      </c>
      <c r="K34" s="17">
        <f t="shared" si="17"/>
        <v>0</v>
      </c>
      <c r="L34" s="17">
        <f t="shared" si="8"/>
        <v>152.35656800000001</v>
      </c>
      <c r="M34" s="17">
        <f t="shared" si="9"/>
        <v>-152.35656800000001</v>
      </c>
      <c r="N34" s="20">
        <f t="shared" si="20"/>
        <v>-3957.9456</v>
      </c>
      <c r="O34" s="21">
        <f t="shared" si="21"/>
        <v>0</v>
      </c>
      <c r="Q34" t="s">
        <v>7</v>
      </c>
    </row>
    <row r="35" spans="1:17" x14ac:dyDescent="0.25">
      <c r="A35" s="1">
        <v>1</v>
      </c>
      <c r="B35" s="2">
        <f>1-4/21*(1-A35)^2</f>
        <v>1</v>
      </c>
      <c r="C35" s="3">
        <f t="shared" ref="C35:C45" si="22">-B35*bSez*hSez*fcd/10</f>
        <v>-2975</v>
      </c>
      <c r="D35" s="4">
        <f t="shared" ref="D35:D45" si="23">-EpsC2*(cf/(4/7*hSez)*(1-A35)+A35)</f>
        <v>-2E-3</v>
      </c>
      <c r="E35" s="3">
        <f t="shared" ref="E35:E58" si="24">IF(D35&lt;-EpsYd,-fyd,IF(D35&gt;EpsYd,fyd,D35/EpsYd*fyd))</f>
        <v>-391.3</v>
      </c>
      <c r="F35" s="3">
        <f t="shared" ref="F35:F58" si="25">AsP*E35/10</f>
        <v>-491.47280000000001</v>
      </c>
      <c r="G35" s="4">
        <f t="shared" ref="G35:G45" si="26">-EpsC2*(dSez/(4/7*hSez)*(1-A35)+A35)</f>
        <v>-2E-3</v>
      </c>
      <c r="H35" s="3">
        <f t="shared" si="5"/>
        <v>-391.3</v>
      </c>
      <c r="I35" s="3">
        <f t="shared" ref="I35:I58" si="27">As*H35/10</f>
        <v>-491.47280000000001</v>
      </c>
      <c r="J35" s="5">
        <f>1/2*((1-16/49*(1-A35)^2)/(1-4/21*(1-A35)^2))</f>
        <v>0.5</v>
      </c>
      <c r="K35" s="3">
        <f t="shared" ref="K35:K45" si="28">C35*(hSez/2-J35*hSez)/10^2</f>
        <v>0</v>
      </c>
      <c r="L35" s="3">
        <f t="shared" ref="L35:L58" si="29">-F35*(hSez/2-cf)/10^2</f>
        <v>152.35656800000001</v>
      </c>
      <c r="M35" s="3">
        <f t="shared" ref="M35:M58" si="30">I35*(hSez/2-cf)/10^2</f>
        <v>-152.35656800000001</v>
      </c>
      <c r="N35" s="6">
        <f>C35+F35+I35</f>
        <v>-3957.9456</v>
      </c>
      <c r="O35" s="7">
        <f t="shared" si="21"/>
        <v>0</v>
      </c>
      <c r="Q35" t="s">
        <v>7</v>
      </c>
    </row>
    <row r="36" spans="1:17" x14ac:dyDescent="0.25">
      <c r="A36" s="8">
        <v>0.9</v>
      </c>
      <c r="B36" s="9">
        <f t="shared" ref="B36:B45" si="31">1-4/21*(1-A36)^2</f>
        <v>0.99809523809523815</v>
      </c>
      <c r="C36" s="10">
        <f t="shared" si="22"/>
        <v>-2969.333333333333</v>
      </c>
      <c r="D36" s="11">
        <f t="shared" si="23"/>
        <v>-1.82E-3</v>
      </c>
      <c r="E36" s="10">
        <f t="shared" si="24"/>
        <v>-364.00000000000006</v>
      </c>
      <c r="F36" s="10">
        <f t="shared" si="25"/>
        <v>-457.18400000000008</v>
      </c>
      <c r="G36" s="11">
        <f t="shared" si="26"/>
        <v>-2.1299999999999999E-3</v>
      </c>
      <c r="H36" s="10">
        <f t="shared" ref="H36:H46" si="32">IF(G36&lt;-EpsYd,-fyd,IF(G36&gt;EpsYd,fyd,G36/EpsYd*fyd))</f>
        <v>-391.3</v>
      </c>
      <c r="I36" s="10">
        <f t="shared" si="27"/>
        <v>-491.47280000000001</v>
      </c>
      <c r="J36" s="12">
        <f t="shared" ref="J36:J45" si="33">1/2*((1-16/49*(1-A36)^2)/(1-4/21*(1-A36)^2))</f>
        <v>0.49931842966194107</v>
      </c>
      <c r="K36" s="10">
        <f t="shared" si="28"/>
        <v>-1.4166666666666714</v>
      </c>
      <c r="L36" s="10">
        <f t="shared" si="29"/>
        <v>141.72704000000004</v>
      </c>
      <c r="M36" s="10">
        <f t="shared" si="30"/>
        <v>-152.35656800000001</v>
      </c>
      <c r="N36" s="13">
        <f t="shared" ref="N36:N46" si="34">C36+F36+I36</f>
        <v>-3917.9901333333332</v>
      </c>
      <c r="O36" s="14">
        <f t="shared" ref="O36:O46" si="35">K36+L36+M36</f>
        <v>-12.046194666666651</v>
      </c>
    </row>
    <row r="37" spans="1:17" x14ac:dyDescent="0.25">
      <c r="A37" s="8">
        <v>0.8</v>
      </c>
      <c r="B37" s="9">
        <f t="shared" si="31"/>
        <v>0.99238095238095236</v>
      </c>
      <c r="C37" s="10">
        <f t="shared" si="22"/>
        <v>-2952.333333333333</v>
      </c>
      <c r="D37" s="11">
        <f t="shared" si="23"/>
        <v>-1.6400000000000002E-3</v>
      </c>
      <c r="E37" s="10">
        <f t="shared" si="24"/>
        <v>-328.00000000000006</v>
      </c>
      <c r="F37" s="10">
        <f t="shared" si="25"/>
        <v>-411.96800000000013</v>
      </c>
      <c r="G37" s="11">
        <f t="shared" si="26"/>
        <v>-2.2599999999999999E-3</v>
      </c>
      <c r="H37" s="10">
        <f t="shared" si="32"/>
        <v>-391.3</v>
      </c>
      <c r="I37" s="10">
        <f t="shared" si="27"/>
        <v>-491.47280000000001</v>
      </c>
      <c r="J37" s="12">
        <f t="shared" si="33"/>
        <v>0.49725802029064986</v>
      </c>
      <c r="K37" s="10">
        <f t="shared" si="28"/>
        <v>-5.6666666666666927</v>
      </c>
      <c r="L37" s="10">
        <f t="shared" si="29"/>
        <v>127.71008000000003</v>
      </c>
      <c r="M37" s="10">
        <f t="shared" si="30"/>
        <v>-152.35656800000001</v>
      </c>
      <c r="N37" s="13">
        <f t="shared" si="34"/>
        <v>-3855.7741333333333</v>
      </c>
      <c r="O37" s="14">
        <f t="shared" si="35"/>
        <v>-30.313154666666662</v>
      </c>
    </row>
    <row r="38" spans="1:17" x14ac:dyDescent="0.25">
      <c r="A38" s="8">
        <v>0.7</v>
      </c>
      <c r="B38" s="9">
        <f t="shared" si="31"/>
        <v>0.98285714285714287</v>
      </c>
      <c r="C38" s="10">
        <f t="shared" si="22"/>
        <v>-2924</v>
      </c>
      <c r="D38" s="11">
        <f t="shared" si="23"/>
        <v>-1.4599999999999999E-3</v>
      </c>
      <c r="E38" s="10">
        <f t="shared" si="24"/>
        <v>-292</v>
      </c>
      <c r="F38" s="10">
        <f t="shared" si="25"/>
        <v>-366.75200000000001</v>
      </c>
      <c r="G38" s="11">
        <f t="shared" si="26"/>
        <v>-2.3900000000000002E-3</v>
      </c>
      <c r="H38" s="10">
        <f t="shared" si="32"/>
        <v>-391.3</v>
      </c>
      <c r="I38" s="10">
        <f t="shared" si="27"/>
        <v>-491.47280000000001</v>
      </c>
      <c r="J38" s="12">
        <f t="shared" si="33"/>
        <v>0.4937707641196013</v>
      </c>
      <c r="K38" s="10">
        <f t="shared" si="28"/>
        <v>-12.750000000000009</v>
      </c>
      <c r="L38" s="10">
        <f t="shared" si="29"/>
        <v>113.69311999999999</v>
      </c>
      <c r="M38" s="10">
        <f t="shared" si="30"/>
        <v>-152.35656800000001</v>
      </c>
      <c r="N38" s="13">
        <f t="shared" si="34"/>
        <v>-3782.2248</v>
      </c>
      <c r="O38" s="14">
        <f t="shared" si="35"/>
        <v>-51.413448000000031</v>
      </c>
    </row>
    <row r="39" spans="1:17" x14ac:dyDescent="0.25">
      <c r="A39" s="8">
        <v>0.6</v>
      </c>
      <c r="B39" s="9">
        <f t="shared" si="31"/>
        <v>0.96952380952380957</v>
      </c>
      <c r="C39" s="10">
        <f t="shared" si="22"/>
        <v>-2884.333333333333</v>
      </c>
      <c r="D39" s="11">
        <f t="shared" si="23"/>
        <v>-1.2800000000000001E-3</v>
      </c>
      <c r="E39" s="10">
        <f t="shared" si="24"/>
        <v>-256.00000000000006</v>
      </c>
      <c r="F39" s="10">
        <f t="shared" si="25"/>
        <v>-321.53600000000012</v>
      </c>
      <c r="G39" s="11">
        <f t="shared" si="26"/>
        <v>-2.5200000000000001E-3</v>
      </c>
      <c r="H39" s="10">
        <f t="shared" si="32"/>
        <v>-391.3</v>
      </c>
      <c r="I39" s="10">
        <f t="shared" si="27"/>
        <v>-491.47280000000001</v>
      </c>
      <c r="J39" s="12">
        <f t="shared" si="33"/>
        <v>0.48877350547291609</v>
      </c>
      <c r="K39" s="10">
        <f t="shared" si="28"/>
        <v>-22.666666666666696</v>
      </c>
      <c r="L39" s="10">
        <f t="shared" si="29"/>
        <v>99.676160000000039</v>
      </c>
      <c r="M39" s="10">
        <f t="shared" si="30"/>
        <v>-152.35656800000001</v>
      </c>
      <c r="N39" s="13">
        <f t="shared" si="34"/>
        <v>-3697.3421333333331</v>
      </c>
      <c r="O39" s="14">
        <f t="shared" si="35"/>
        <v>-75.347074666666671</v>
      </c>
    </row>
    <row r="40" spans="1:17" x14ac:dyDescent="0.25">
      <c r="A40" s="8">
        <v>0.5</v>
      </c>
      <c r="B40" s="9">
        <f t="shared" si="31"/>
        <v>0.95238095238095233</v>
      </c>
      <c r="C40" s="10">
        <f t="shared" si="22"/>
        <v>-2833.333333333333</v>
      </c>
      <c r="D40" s="11">
        <f t="shared" si="23"/>
        <v>-1.1000000000000001E-3</v>
      </c>
      <c r="E40" s="10">
        <f t="shared" si="24"/>
        <v>-220</v>
      </c>
      <c r="F40" s="10">
        <f t="shared" si="25"/>
        <v>-276.32000000000005</v>
      </c>
      <c r="G40" s="11">
        <f t="shared" si="26"/>
        <v>-2.65E-3</v>
      </c>
      <c r="H40" s="10">
        <f t="shared" si="32"/>
        <v>-391.3</v>
      </c>
      <c r="I40" s="10">
        <f t="shared" si="27"/>
        <v>-491.47280000000001</v>
      </c>
      <c r="J40" s="12">
        <f t="shared" si="33"/>
        <v>0.48214285714285721</v>
      </c>
      <c r="K40" s="10">
        <f t="shared" si="28"/>
        <v>-35.416666666666458</v>
      </c>
      <c r="L40" s="10">
        <f t="shared" si="29"/>
        <v>85.659200000000013</v>
      </c>
      <c r="M40" s="10">
        <f t="shared" si="30"/>
        <v>-152.35656800000001</v>
      </c>
      <c r="N40" s="13">
        <f t="shared" si="34"/>
        <v>-3601.1261333333332</v>
      </c>
      <c r="O40" s="14">
        <f t="shared" si="35"/>
        <v>-102.11403466666646</v>
      </c>
    </row>
    <row r="41" spans="1:17" x14ac:dyDescent="0.25">
      <c r="A41" s="8">
        <v>0.4</v>
      </c>
      <c r="B41" s="9">
        <f t="shared" si="31"/>
        <v>0.93142857142857149</v>
      </c>
      <c r="C41" s="10">
        <f t="shared" si="22"/>
        <v>-2771</v>
      </c>
      <c r="D41" s="11">
        <f t="shared" si="23"/>
        <v>-9.2000000000000003E-4</v>
      </c>
      <c r="E41" s="10">
        <f t="shared" si="24"/>
        <v>-184.00000000000003</v>
      </c>
      <c r="F41" s="10">
        <f t="shared" si="25"/>
        <v>-231.10400000000004</v>
      </c>
      <c r="G41" s="11">
        <f t="shared" si="26"/>
        <v>-2.7799999999999999E-3</v>
      </c>
      <c r="H41" s="10">
        <f t="shared" si="32"/>
        <v>-391.3</v>
      </c>
      <c r="I41" s="10">
        <f t="shared" si="27"/>
        <v>-491.47280000000001</v>
      </c>
      <c r="J41" s="12">
        <f t="shared" si="33"/>
        <v>0.47370727432077125</v>
      </c>
      <c r="K41" s="10">
        <f t="shared" si="28"/>
        <v>-50.999999999999957</v>
      </c>
      <c r="L41" s="10">
        <f t="shared" si="29"/>
        <v>71.642240000000015</v>
      </c>
      <c r="M41" s="10">
        <f t="shared" si="30"/>
        <v>-152.35656800000001</v>
      </c>
      <c r="N41" s="13">
        <f t="shared" si="34"/>
        <v>-3493.5768000000003</v>
      </c>
      <c r="O41" s="14">
        <f t="shared" si="35"/>
        <v>-131.71432799999997</v>
      </c>
    </row>
    <row r="42" spans="1:17" x14ac:dyDescent="0.25">
      <c r="A42" s="8">
        <v>0.3</v>
      </c>
      <c r="B42" s="9">
        <f t="shared" si="31"/>
        <v>0.90666666666666673</v>
      </c>
      <c r="C42" s="10">
        <f t="shared" si="22"/>
        <v>-2697.3333333333335</v>
      </c>
      <c r="D42" s="11">
        <f t="shared" si="23"/>
        <v>-7.3999999999999999E-4</v>
      </c>
      <c r="E42" s="10">
        <f t="shared" si="24"/>
        <v>-148.00000000000003</v>
      </c>
      <c r="F42" s="10">
        <f t="shared" si="25"/>
        <v>-185.88800000000003</v>
      </c>
      <c r="G42" s="11">
        <f t="shared" si="26"/>
        <v>-2.9099999999999998E-3</v>
      </c>
      <c r="H42" s="10">
        <f t="shared" si="32"/>
        <v>-391.3</v>
      </c>
      <c r="I42" s="10">
        <f t="shared" si="27"/>
        <v>-491.47280000000001</v>
      </c>
      <c r="J42" s="12">
        <f t="shared" si="33"/>
        <v>0.46323529411764708</v>
      </c>
      <c r="K42" s="10">
        <f t="shared" si="28"/>
        <v>-69.416666666666586</v>
      </c>
      <c r="L42" s="10">
        <f t="shared" si="29"/>
        <v>57.625280000000011</v>
      </c>
      <c r="M42" s="10">
        <f t="shared" si="30"/>
        <v>-152.35656800000001</v>
      </c>
      <c r="N42" s="13">
        <f t="shared" si="34"/>
        <v>-3374.6941333333334</v>
      </c>
      <c r="O42" s="14">
        <f t="shared" si="35"/>
        <v>-164.14795466666658</v>
      </c>
    </row>
    <row r="43" spans="1:17" x14ac:dyDescent="0.25">
      <c r="A43" s="8">
        <v>0.2</v>
      </c>
      <c r="B43" s="9">
        <f t="shared" si="31"/>
        <v>0.87809523809523804</v>
      </c>
      <c r="C43" s="10">
        <f t="shared" si="22"/>
        <v>-2612.333333333333</v>
      </c>
      <c r="D43" s="11">
        <f t="shared" si="23"/>
        <v>-5.6000000000000006E-4</v>
      </c>
      <c r="E43" s="10">
        <f t="shared" si="24"/>
        <v>-112.00000000000001</v>
      </c>
      <c r="F43" s="10">
        <f t="shared" si="25"/>
        <v>-140.67200000000003</v>
      </c>
      <c r="G43" s="11">
        <f t="shared" si="26"/>
        <v>-3.0400000000000002E-3</v>
      </c>
      <c r="H43" s="10">
        <f t="shared" si="32"/>
        <v>-391.3</v>
      </c>
      <c r="I43" s="10">
        <f t="shared" si="27"/>
        <v>-491.47280000000001</v>
      </c>
      <c r="J43" s="12">
        <f t="shared" si="33"/>
        <v>0.45041834521227148</v>
      </c>
      <c r="K43" s="10">
        <f t="shared" si="28"/>
        <v>-90.666666666666629</v>
      </c>
      <c r="L43" s="10">
        <f t="shared" si="29"/>
        <v>43.608320000000006</v>
      </c>
      <c r="M43" s="10">
        <f t="shared" si="30"/>
        <v>-152.35656800000001</v>
      </c>
      <c r="N43" s="13">
        <f t="shared" si="34"/>
        <v>-3244.4781333333331</v>
      </c>
      <c r="O43" s="14">
        <f t="shared" si="35"/>
        <v>-199.41491466666662</v>
      </c>
    </row>
    <row r="44" spans="1:17" x14ac:dyDescent="0.25">
      <c r="A44" s="8">
        <v>0.1</v>
      </c>
      <c r="B44" s="9">
        <f t="shared" si="31"/>
        <v>0.84571428571428575</v>
      </c>
      <c r="C44" s="10">
        <f t="shared" si="22"/>
        <v>-2516.0000000000005</v>
      </c>
      <c r="D44" s="11">
        <f t="shared" si="23"/>
        <v>-3.8000000000000002E-4</v>
      </c>
      <c r="E44" s="10">
        <f t="shared" si="24"/>
        <v>-76.000000000000014</v>
      </c>
      <c r="F44" s="10">
        <f t="shared" si="25"/>
        <v>-95.456000000000017</v>
      </c>
      <c r="G44" s="11">
        <f t="shared" si="26"/>
        <v>-3.1700000000000001E-3</v>
      </c>
      <c r="H44" s="10">
        <f t="shared" si="32"/>
        <v>-391.3</v>
      </c>
      <c r="I44" s="10">
        <f t="shared" si="27"/>
        <v>-491.47280000000001</v>
      </c>
      <c r="J44" s="12">
        <f t="shared" si="33"/>
        <v>0.43484555984555978</v>
      </c>
      <c r="K44" s="10">
        <f t="shared" si="28"/>
        <v>-114.75000000000011</v>
      </c>
      <c r="L44" s="10">
        <f t="shared" si="29"/>
        <v>29.591360000000005</v>
      </c>
      <c r="M44" s="10">
        <f t="shared" si="30"/>
        <v>-152.35656800000001</v>
      </c>
      <c r="N44" s="13">
        <f t="shared" si="34"/>
        <v>-3102.9288000000006</v>
      </c>
      <c r="O44" s="14">
        <f t="shared" si="35"/>
        <v>-237.51520800000011</v>
      </c>
    </row>
    <row r="45" spans="1:17" ht="15.75" thickBot="1" x14ac:dyDescent="0.3">
      <c r="A45" s="15">
        <v>0</v>
      </c>
      <c r="B45" s="16">
        <f t="shared" si="31"/>
        <v>0.80952380952380953</v>
      </c>
      <c r="C45" s="17">
        <f t="shared" si="22"/>
        <v>-2408.333333333333</v>
      </c>
      <c r="D45" s="18">
        <f t="shared" si="23"/>
        <v>-2.0000000000000001E-4</v>
      </c>
      <c r="E45" s="17">
        <f t="shared" si="24"/>
        <v>-40</v>
      </c>
      <c r="F45" s="17">
        <f t="shared" si="25"/>
        <v>-50.24</v>
      </c>
      <c r="G45" s="18">
        <f t="shared" si="26"/>
        <v>-3.3E-3</v>
      </c>
      <c r="H45" s="17">
        <f t="shared" si="32"/>
        <v>-391.3</v>
      </c>
      <c r="I45" s="17">
        <f t="shared" si="27"/>
        <v>-491.47280000000001</v>
      </c>
      <c r="J45" s="19">
        <f t="shared" si="33"/>
        <v>0.41596638655462187</v>
      </c>
      <c r="K45" s="17">
        <f t="shared" si="28"/>
        <v>-141.66666666666657</v>
      </c>
      <c r="L45" s="17">
        <f t="shared" si="29"/>
        <v>15.574400000000001</v>
      </c>
      <c r="M45" s="17">
        <f t="shared" si="30"/>
        <v>-152.35656800000001</v>
      </c>
      <c r="N45" s="20">
        <f t="shared" si="34"/>
        <v>-2950.0461333333328</v>
      </c>
      <c r="O45" s="21">
        <f t="shared" si="35"/>
        <v>-278.44883466666658</v>
      </c>
      <c r="Q45" t="s">
        <v>10</v>
      </c>
    </row>
    <row r="46" spans="1:17" x14ac:dyDescent="0.25">
      <c r="A46" s="51">
        <f>12*hSez/12</f>
        <v>70</v>
      </c>
      <c r="B46" s="22">
        <f>1-4/21</f>
        <v>0.80952380952380953</v>
      </c>
      <c r="C46" s="23">
        <f t="shared" ref="C46:C58" si="36">-B46*bSez*A46*fcd/10</f>
        <v>-2408.333333333333</v>
      </c>
      <c r="D46" s="24">
        <f t="shared" ref="D46:D58" si="37">(dSez-A46)/A46*EpsCU</f>
        <v>-2.0000000000000001E-4</v>
      </c>
      <c r="E46" s="23">
        <f t="shared" si="24"/>
        <v>-40</v>
      </c>
      <c r="F46" s="23">
        <f t="shared" si="25"/>
        <v>-50.24</v>
      </c>
      <c r="G46" s="24">
        <f t="shared" ref="G46:G58" si="38">-(A46-cf)/A46*EpsCU</f>
        <v>-3.3E-3</v>
      </c>
      <c r="H46" s="23">
        <f t="shared" si="32"/>
        <v>-391.3</v>
      </c>
      <c r="I46" s="23">
        <f t="shared" si="27"/>
        <v>-491.47280000000001</v>
      </c>
      <c r="J46" s="25">
        <f>1/2*(1-16/49)/(1-4/21)</f>
        <v>0.41596638655462187</v>
      </c>
      <c r="K46" s="23">
        <f t="shared" ref="K46:K58" si="39">C46*(hSez/2-J46*A46)/10^2</f>
        <v>-141.66666666666657</v>
      </c>
      <c r="L46" s="23">
        <f t="shared" si="29"/>
        <v>15.574400000000001</v>
      </c>
      <c r="M46" s="23">
        <f t="shared" si="30"/>
        <v>-152.35656800000001</v>
      </c>
      <c r="N46" s="26">
        <f t="shared" si="34"/>
        <v>-2950.0461333333328</v>
      </c>
      <c r="O46" s="27">
        <f t="shared" si="35"/>
        <v>-278.44883466666658</v>
      </c>
      <c r="Q46" t="s">
        <v>10</v>
      </c>
    </row>
    <row r="47" spans="1:17" x14ac:dyDescent="0.25">
      <c r="A47" s="52">
        <f>11*hSez/12</f>
        <v>64.166666666666671</v>
      </c>
      <c r="B47" s="28">
        <f t="shared" ref="B47:B58" si="40">1-4/21</f>
        <v>0.80952380952380953</v>
      </c>
      <c r="C47" s="29">
        <f t="shared" si="36"/>
        <v>-2207.6388888888891</v>
      </c>
      <c r="D47" s="30">
        <f t="shared" si="37"/>
        <v>9.9999999999999734E-5</v>
      </c>
      <c r="E47" s="29">
        <f t="shared" si="24"/>
        <v>19.999999999999947</v>
      </c>
      <c r="F47" s="29">
        <f t="shared" si="25"/>
        <v>25.119999999999933</v>
      </c>
      <c r="G47" s="30">
        <f t="shared" si="38"/>
        <v>-3.2818181818181818E-3</v>
      </c>
      <c r="H47" s="29">
        <f t="shared" ref="H47:H58" si="41">IF(G47&lt;-EpsYd,-fyd,IF(G47&gt;EpsYd,fyd,G47/EpsYd*fyd))</f>
        <v>-391.3</v>
      </c>
      <c r="I47" s="29">
        <f t="shared" si="27"/>
        <v>-491.47280000000001</v>
      </c>
      <c r="J47" s="31">
        <f t="shared" ref="J47:J58" si="42">1/2*(1-16/49)/(1-4/21)</f>
        <v>0.41596638655462187</v>
      </c>
      <c r="K47" s="29">
        <f t="shared" si="39"/>
        <v>-183.42881944444437</v>
      </c>
      <c r="L47" s="29">
        <f t="shared" si="29"/>
        <v>-7.7871999999999799</v>
      </c>
      <c r="M47" s="29">
        <f t="shared" si="30"/>
        <v>-152.35656800000001</v>
      </c>
      <c r="N47" s="32">
        <f t="shared" ref="N47:N58" si="43">C47+F47+I47</f>
        <v>-2673.9916888888893</v>
      </c>
      <c r="O47" s="33">
        <f t="shared" ref="O47:O58" si="44">K47+L47+M47</f>
        <v>-343.57258744444437</v>
      </c>
    </row>
    <row r="48" spans="1:17" x14ac:dyDescent="0.25">
      <c r="A48" s="52">
        <f>10*hSez/12</f>
        <v>58.333333333333336</v>
      </c>
      <c r="B48" s="28">
        <f t="shared" si="40"/>
        <v>0.80952380952380953</v>
      </c>
      <c r="C48" s="29">
        <f t="shared" si="36"/>
        <v>-2006.9444444444446</v>
      </c>
      <c r="D48" s="30">
        <f t="shared" si="37"/>
        <v>4.5999999999999991E-4</v>
      </c>
      <c r="E48" s="29">
        <f t="shared" si="24"/>
        <v>91.999999999999986</v>
      </c>
      <c r="F48" s="29">
        <f t="shared" si="25"/>
        <v>115.55199999999998</v>
      </c>
      <c r="G48" s="30">
        <f t="shared" si="38"/>
        <v>-3.2599999999999999E-3</v>
      </c>
      <c r="H48" s="29">
        <f t="shared" si="41"/>
        <v>-391.3</v>
      </c>
      <c r="I48" s="29">
        <f t="shared" si="27"/>
        <v>-491.47280000000001</v>
      </c>
      <c r="J48" s="31">
        <f t="shared" si="42"/>
        <v>0.41596638655462187</v>
      </c>
      <c r="K48" s="29">
        <f t="shared" si="39"/>
        <v>-215.45138888888886</v>
      </c>
      <c r="L48" s="29">
        <f t="shared" si="29"/>
        <v>-35.821119999999993</v>
      </c>
      <c r="M48" s="29">
        <f t="shared" si="30"/>
        <v>-152.35656800000001</v>
      </c>
      <c r="N48" s="32">
        <f t="shared" si="43"/>
        <v>-2382.8652444444447</v>
      </c>
      <c r="O48" s="33">
        <f t="shared" si="44"/>
        <v>-403.6290768888889</v>
      </c>
    </row>
    <row r="49" spans="1:17" x14ac:dyDescent="0.25">
      <c r="A49" s="52">
        <f>9*hSez/12</f>
        <v>52.5</v>
      </c>
      <c r="B49" s="28">
        <f t="shared" si="40"/>
        <v>0.80952380952380953</v>
      </c>
      <c r="C49" s="29">
        <f t="shared" si="36"/>
        <v>-1806.25</v>
      </c>
      <c r="D49" s="30">
        <f t="shared" si="37"/>
        <v>8.9999999999999998E-4</v>
      </c>
      <c r="E49" s="29">
        <f t="shared" si="24"/>
        <v>180</v>
      </c>
      <c r="F49" s="29">
        <f t="shared" si="25"/>
        <v>226.08</v>
      </c>
      <c r="G49" s="30">
        <f t="shared" si="38"/>
        <v>-3.2333333333333337E-3</v>
      </c>
      <c r="H49" s="29">
        <f t="shared" si="41"/>
        <v>-391.3</v>
      </c>
      <c r="I49" s="29">
        <f t="shared" si="27"/>
        <v>-491.47280000000001</v>
      </c>
      <c r="J49" s="31">
        <f t="shared" si="42"/>
        <v>0.41596638655462187</v>
      </c>
      <c r="K49" s="29">
        <f t="shared" si="39"/>
        <v>-237.73437499999997</v>
      </c>
      <c r="L49" s="29">
        <f t="shared" si="29"/>
        <v>-70.084800000000001</v>
      </c>
      <c r="M49" s="29">
        <f t="shared" si="30"/>
        <v>-152.35656800000001</v>
      </c>
      <c r="N49" s="32">
        <f t="shared" si="43"/>
        <v>-2071.6428000000001</v>
      </c>
      <c r="O49" s="33">
        <f t="shared" si="44"/>
        <v>-460.17574300000001</v>
      </c>
    </row>
    <row r="50" spans="1:17" x14ac:dyDescent="0.25">
      <c r="A50" s="52">
        <f>8*hSez/12</f>
        <v>46.666666666666664</v>
      </c>
      <c r="B50" s="28">
        <f t="shared" si="40"/>
        <v>0.80952380952380953</v>
      </c>
      <c r="C50" s="29">
        <f t="shared" si="36"/>
        <v>-1605.5555555555552</v>
      </c>
      <c r="D50" s="30">
        <f t="shared" si="37"/>
        <v>1.4500000000000003E-3</v>
      </c>
      <c r="E50" s="29">
        <f t="shared" si="24"/>
        <v>290.00000000000006</v>
      </c>
      <c r="F50" s="29">
        <f t="shared" si="25"/>
        <v>364.24000000000012</v>
      </c>
      <c r="G50" s="30">
        <f t="shared" si="38"/>
        <v>-3.2000000000000002E-3</v>
      </c>
      <c r="H50" s="29">
        <f t="shared" si="41"/>
        <v>-391.3</v>
      </c>
      <c r="I50" s="29">
        <f t="shared" si="27"/>
        <v>-491.47280000000001</v>
      </c>
      <c r="J50" s="31">
        <f t="shared" si="42"/>
        <v>0.41596638655462187</v>
      </c>
      <c r="K50" s="29">
        <f t="shared" si="39"/>
        <v>-250.27777777777774</v>
      </c>
      <c r="L50" s="29">
        <f t="shared" si="29"/>
        <v>-112.91440000000004</v>
      </c>
      <c r="M50" s="29">
        <f t="shared" si="30"/>
        <v>-152.35656800000001</v>
      </c>
      <c r="N50" s="32">
        <f t="shared" si="43"/>
        <v>-1732.788355555555</v>
      </c>
      <c r="O50" s="33">
        <f t="shared" si="44"/>
        <v>-515.54874577777775</v>
      </c>
    </row>
    <row r="51" spans="1:17" x14ac:dyDescent="0.25">
      <c r="A51" s="52">
        <f>7*hSez/12</f>
        <v>40.833333333333336</v>
      </c>
      <c r="B51" s="28">
        <f t="shared" si="40"/>
        <v>0.80952380952380953</v>
      </c>
      <c r="C51" s="29">
        <f t="shared" si="36"/>
        <v>-1404.8611111111109</v>
      </c>
      <c r="D51" s="30">
        <f t="shared" si="37"/>
        <v>2.157142857142857E-3</v>
      </c>
      <c r="E51" s="29">
        <f t="shared" si="24"/>
        <v>391.3</v>
      </c>
      <c r="F51" s="29">
        <f t="shared" si="25"/>
        <v>491.47280000000001</v>
      </c>
      <c r="G51" s="30">
        <f t="shared" si="38"/>
        <v>-3.1571428571428575E-3</v>
      </c>
      <c r="H51" s="29">
        <f t="shared" si="41"/>
        <v>-391.3</v>
      </c>
      <c r="I51" s="29">
        <f t="shared" si="27"/>
        <v>-491.47280000000001</v>
      </c>
      <c r="J51" s="31">
        <f t="shared" si="42"/>
        <v>0.41596638655462187</v>
      </c>
      <c r="K51" s="29">
        <f t="shared" si="39"/>
        <v>-253.08159722222214</v>
      </c>
      <c r="L51" s="29">
        <f t="shared" si="29"/>
        <v>-152.35656800000001</v>
      </c>
      <c r="M51" s="29">
        <f t="shared" si="30"/>
        <v>-152.35656800000001</v>
      </c>
      <c r="N51" s="32">
        <f t="shared" si="43"/>
        <v>-1404.8611111111109</v>
      </c>
      <c r="O51" s="33">
        <f t="shared" si="44"/>
        <v>-557.79473322222213</v>
      </c>
    </row>
    <row r="52" spans="1:17" x14ac:dyDescent="0.25">
      <c r="A52" s="52">
        <f>6*hSez/12</f>
        <v>35</v>
      </c>
      <c r="B52" s="28">
        <f t="shared" si="40"/>
        <v>0.80952380952380953</v>
      </c>
      <c r="C52" s="29">
        <f t="shared" si="36"/>
        <v>-1204.1666666666665</v>
      </c>
      <c r="D52" s="30">
        <f t="shared" si="37"/>
        <v>3.0999999999999999E-3</v>
      </c>
      <c r="E52" s="29">
        <f t="shared" si="24"/>
        <v>391.3</v>
      </c>
      <c r="F52" s="29">
        <f t="shared" si="25"/>
        <v>491.47280000000001</v>
      </c>
      <c r="G52" s="30">
        <f t="shared" si="38"/>
        <v>-3.0999999999999999E-3</v>
      </c>
      <c r="H52" s="29">
        <f t="shared" si="41"/>
        <v>-391.3</v>
      </c>
      <c r="I52" s="29">
        <f t="shared" si="27"/>
        <v>-491.47280000000001</v>
      </c>
      <c r="J52" s="31">
        <f t="shared" si="42"/>
        <v>0.41596638655462187</v>
      </c>
      <c r="K52" s="29">
        <f t="shared" si="39"/>
        <v>-246.14583333333326</v>
      </c>
      <c r="L52" s="29">
        <f t="shared" si="29"/>
        <v>-152.35656800000001</v>
      </c>
      <c r="M52" s="29">
        <f t="shared" si="30"/>
        <v>-152.35656800000001</v>
      </c>
      <c r="N52" s="32">
        <f t="shared" si="43"/>
        <v>-1204.1666666666665</v>
      </c>
      <c r="O52" s="33">
        <f t="shared" si="44"/>
        <v>-550.85896933333333</v>
      </c>
    </row>
    <row r="53" spans="1:17" x14ac:dyDescent="0.25">
      <c r="A53" s="52">
        <f>5*hSez/12</f>
        <v>29.166666666666668</v>
      </c>
      <c r="B53" s="28">
        <f t="shared" si="40"/>
        <v>0.80952380952380953</v>
      </c>
      <c r="C53" s="29">
        <f t="shared" si="36"/>
        <v>-1003.4722222222223</v>
      </c>
      <c r="D53" s="30">
        <f t="shared" si="37"/>
        <v>4.4199999999999995E-3</v>
      </c>
      <c r="E53" s="29">
        <f t="shared" si="24"/>
        <v>391.3</v>
      </c>
      <c r="F53" s="29">
        <f t="shared" si="25"/>
        <v>491.47280000000001</v>
      </c>
      <c r="G53" s="30">
        <f t="shared" si="38"/>
        <v>-3.0200000000000001E-3</v>
      </c>
      <c r="H53" s="29">
        <f t="shared" si="41"/>
        <v>-391.3</v>
      </c>
      <c r="I53" s="29">
        <f t="shared" si="27"/>
        <v>-491.47280000000001</v>
      </c>
      <c r="J53" s="31">
        <f t="shared" si="42"/>
        <v>0.41596638655462187</v>
      </c>
      <c r="K53" s="29">
        <f t="shared" si="39"/>
        <v>-229.47048611111114</v>
      </c>
      <c r="L53" s="29">
        <f t="shared" si="29"/>
        <v>-152.35656800000001</v>
      </c>
      <c r="M53" s="29">
        <f t="shared" si="30"/>
        <v>-152.35656800000001</v>
      </c>
      <c r="N53" s="32">
        <f t="shared" si="43"/>
        <v>-1003.4722222222223</v>
      </c>
      <c r="O53" s="33">
        <f t="shared" si="44"/>
        <v>-534.18362211111116</v>
      </c>
    </row>
    <row r="54" spans="1:17" x14ac:dyDescent="0.25">
      <c r="A54" s="52">
        <f>4*hSez/12</f>
        <v>23.333333333333332</v>
      </c>
      <c r="B54" s="28">
        <f t="shared" si="40"/>
        <v>0.80952380952380953</v>
      </c>
      <c r="C54" s="29">
        <f t="shared" si="36"/>
        <v>-802.7777777777776</v>
      </c>
      <c r="D54" s="30">
        <f t="shared" si="37"/>
        <v>6.4000000000000012E-3</v>
      </c>
      <c r="E54" s="29">
        <f t="shared" si="24"/>
        <v>391.3</v>
      </c>
      <c r="F54" s="29">
        <f t="shared" si="25"/>
        <v>491.47280000000001</v>
      </c>
      <c r="G54" s="30">
        <f t="shared" si="38"/>
        <v>-2.8999999999999998E-3</v>
      </c>
      <c r="H54" s="29">
        <f t="shared" si="41"/>
        <v>-391.3</v>
      </c>
      <c r="I54" s="29">
        <f t="shared" si="27"/>
        <v>-491.47280000000001</v>
      </c>
      <c r="J54" s="31">
        <f t="shared" si="42"/>
        <v>0.41596638655462187</v>
      </c>
      <c r="K54" s="29">
        <f t="shared" si="39"/>
        <v>-203.05555555555554</v>
      </c>
      <c r="L54" s="29">
        <f t="shared" si="29"/>
        <v>-152.35656800000001</v>
      </c>
      <c r="M54" s="29">
        <f t="shared" si="30"/>
        <v>-152.35656800000001</v>
      </c>
      <c r="N54" s="32">
        <f t="shared" si="43"/>
        <v>-802.7777777777776</v>
      </c>
      <c r="O54" s="33">
        <f t="shared" si="44"/>
        <v>-507.76869155555562</v>
      </c>
    </row>
    <row r="55" spans="1:17" x14ac:dyDescent="0.25">
      <c r="A55" s="52">
        <f>3*hSez/12</f>
        <v>17.5</v>
      </c>
      <c r="B55" s="28">
        <f t="shared" si="40"/>
        <v>0.80952380952380953</v>
      </c>
      <c r="C55" s="29">
        <f t="shared" si="36"/>
        <v>-602.08333333333326</v>
      </c>
      <c r="D55" s="30">
        <f t="shared" si="37"/>
        <v>9.7000000000000003E-3</v>
      </c>
      <c r="E55" s="29">
        <f t="shared" si="24"/>
        <v>391.3</v>
      </c>
      <c r="F55" s="29">
        <f t="shared" si="25"/>
        <v>491.47280000000001</v>
      </c>
      <c r="G55" s="30">
        <f t="shared" si="38"/>
        <v>-2.7000000000000001E-3</v>
      </c>
      <c r="H55" s="29">
        <f t="shared" si="41"/>
        <v>-391.3</v>
      </c>
      <c r="I55" s="29">
        <f t="shared" si="27"/>
        <v>-491.47280000000001</v>
      </c>
      <c r="J55" s="31">
        <f t="shared" si="42"/>
        <v>0.41596638655462187</v>
      </c>
      <c r="K55" s="29">
        <f t="shared" si="39"/>
        <v>-166.90104166666663</v>
      </c>
      <c r="L55" s="29">
        <f t="shared" si="29"/>
        <v>-152.35656800000001</v>
      </c>
      <c r="M55" s="29">
        <f t="shared" si="30"/>
        <v>-152.35656800000001</v>
      </c>
      <c r="N55" s="32">
        <f t="shared" si="43"/>
        <v>-602.08333333333326</v>
      </c>
      <c r="O55" s="33">
        <f t="shared" si="44"/>
        <v>-471.61417766666671</v>
      </c>
    </row>
    <row r="56" spans="1:17" x14ac:dyDescent="0.25">
      <c r="A56" s="52">
        <f>2*hSez/12</f>
        <v>11.666666666666666</v>
      </c>
      <c r="B56" s="28">
        <f t="shared" si="40"/>
        <v>0.80952380952380953</v>
      </c>
      <c r="C56" s="29">
        <f t="shared" si="36"/>
        <v>-401.3888888888888</v>
      </c>
      <c r="D56" s="30">
        <f t="shared" si="37"/>
        <v>1.6300000000000002E-2</v>
      </c>
      <c r="E56" s="29">
        <f t="shared" si="24"/>
        <v>391.3</v>
      </c>
      <c r="F56" s="29">
        <f t="shared" si="25"/>
        <v>491.47280000000001</v>
      </c>
      <c r="G56" s="30">
        <f t="shared" si="38"/>
        <v>-2.3E-3</v>
      </c>
      <c r="H56" s="29">
        <f t="shared" si="41"/>
        <v>-391.3</v>
      </c>
      <c r="I56" s="29">
        <f t="shared" si="27"/>
        <v>-491.47280000000001</v>
      </c>
      <c r="J56" s="31">
        <f t="shared" si="42"/>
        <v>0.41596638655462187</v>
      </c>
      <c r="K56" s="29">
        <f t="shared" si="39"/>
        <v>-121.00694444444441</v>
      </c>
      <c r="L56" s="29">
        <f t="shared" si="29"/>
        <v>-152.35656800000001</v>
      </c>
      <c r="M56" s="29">
        <f t="shared" si="30"/>
        <v>-152.35656800000001</v>
      </c>
      <c r="N56" s="32">
        <f t="shared" si="43"/>
        <v>-401.3888888888888</v>
      </c>
      <c r="O56" s="33">
        <f t="shared" si="44"/>
        <v>-425.72008044444442</v>
      </c>
    </row>
    <row r="57" spans="1:17" x14ac:dyDescent="0.25">
      <c r="A57" s="52">
        <f>1*hSez/12</f>
        <v>5.833333333333333</v>
      </c>
      <c r="B57" s="28">
        <f t="shared" si="40"/>
        <v>0.80952380952380953</v>
      </c>
      <c r="C57" s="29">
        <f t="shared" si="36"/>
        <v>-200.6944444444444</v>
      </c>
      <c r="D57" s="30">
        <f t="shared" si="37"/>
        <v>3.61E-2</v>
      </c>
      <c r="E57" s="29">
        <f t="shared" si="24"/>
        <v>391.3</v>
      </c>
      <c r="F57" s="29">
        <f t="shared" si="25"/>
        <v>491.47280000000001</v>
      </c>
      <c r="G57" s="30">
        <f t="shared" si="38"/>
        <v>-1.0999999999999998E-3</v>
      </c>
      <c r="H57" s="29">
        <f t="shared" si="41"/>
        <v>-219.99999999999997</v>
      </c>
      <c r="I57" s="29">
        <f t="shared" si="27"/>
        <v>-276.32</v>
      </c>
      <c r="J57" s="31">
        <f t="shared" si="42"/>
        <v>0.41596638655462187</v>
      </c>
      <c r="K57" s="29">
        <f t="shared" si="39"/>
        <v>-65.373263888888872</v>
      </c>
      <c r="L57" s="29">
        <f t="shared" si="29"/>
        <v>-152.35656800000001</v>
      </c>
      <c r="M57" s="29">
        <f t="shared" si="30"/>
        <v>-85.659199999999998</v>
      </c>
      <c r="N57" s="32">
        <f t="shared" si="43"/>
        <v>14.458355555555613</v>
      </c>
      <c r="O57" s="33">
        <f t="shared" si="44"/>
        <v>-303.38903188888889</v>
      </c>
    </row>
    <row r="58" spans="1:17" ht="15.75" thickBot="1" x14ac:dyDescent="0.3">
      <c r="A58" s="34">
        <v>9.9999999999999995E-7</v>
      </c>
      <c r="B58" s="35">
        <f t="shared" si="40"/>
        <v>0.80952380952380953</v>
      </c>
      <c r="C58" s="36">
        <f t="shared" si="36"/>
        <v>-3.4404761904761901E-5</v>
      </c>
      <c r="D58" s="37">
        <f t="shared" si="37"/>
        <v>230999.99650000004</v>
      </c>
      <c r="E58" s="36">
        <f t="shared" si="24"/>
        <v>391.3</v>
      </c>
      <c r="F58" s="36">
        <f t="shared" si="25"/>
        <v>491.47280000000001</v>
      </c>
      <c r="G58" s="37">
        <f t="shared" si="38"/>
        <v>13999.996500000001</v>
      </c>
      <c r="H58" s="36">
        <f t="shared" si="41"/>
        <v>391.3</v>
      </c>
      <c r="I58" s="36">
        <f t="shared" si="27"/>
        <v>491.47280000000001</v>
      </c>
      <c r="J58" s="38">
        <f t="shared" si="42"/>
        <v>0.41596638655462187</v>
      </c>
      <c r="K58" s="36">
        <f t="shared" si="39"/>
        <v>-1.2041666523554423E-5</v>
      </c>
      <c r="L58" s="36">
        <f t="shared" si="29"/>
        <v>-152.35656800000001</v>
      </c>
      <c r="M58" s="36">
        <f t="shared" si="30"/>
        <v>152.35656800000001</v>
      </c>
      <c r="N58" s="39">
        <f t="shared" si="43"/>
        <v>982.94556559523812</v>
      </c>
      <c r="O58" s="40">
        <f t="shared" si="44"/>
        <v>-1.2041666536788398E-5</v>
      </c>
      <c r="Q58" t="s">
        <v>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11</vt:i4>
      </vt:variant>
    </vt:vector>
  </HeadingPairs>
  <TitlesOfParts>
    <vt:vector size="12" baseType="lpstr">
      <vt:lpstr>Domini M-N</vt:lpstr>
      <vt:lpstr>As</vt:lpstr>
      <vt:lpstr>AsP</vt:lpstr>
      <vt:lpstr>bSez</vt:lpstr>
      <vt:lpstr>cf</vt:lpstr>
      <vt:lpstr>dSez</vt:lpstr>
      <vt:lpstr>EpsC2</vt:lpstr>
      <vt:lpstr>EpsCU</vt:lpstr>
      <vt:lpstr>EpsYd</vt:lpstr>
      <vt:lpstr>fcd</vt:lpstr>
      <vt:lpstr>fyd</vt:lpstr>
      <vt:lpstr>hSez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Edoardo Marino</dc:creator>
  <cp:lastModifiedBy>Edoardo Marino</cp:lastModifiedBy>
  <dcterms:created xsi:type="dcterms:W3CDTF">2020-11-27T16:21:40Z</dcterms:created>
  <dcterms:modified xsi:type="dcterms:W3CDTF">2024-05-02T13:09:59Z</dcterms:modified>
</cp:coreProperties>
</file>